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90" windowHeight="12000" activeTab="0"/>
  </bookViews>
  <sheets>
    <sheet name="výkaz výměr" sheetId="1" r:id="rId1"/>
    <sheet name="VORN" sheetId="2" state="hidden" r:id="rId2"/>
    <sheet name="VORN objektu (01)" sheetId="3" state="hidden" r:id="rId3"/>
    <sheet name="VORN objektu (02)" sheetId="4" state="hidden" r:id="rId4"/>
    <sheet name="VORN objektu (03)" sheetId="5" state="hidden" r:id="rId5"/>
  </sheets>
  <definedNames>
    <definedName name="_xlnm._FilterDatabase" localSheetId="0" hidden="1">'výkaz výměr'!$A$12:$I$173</definedName>
    <definedName name="_xlnm.Print_Titles" localSheetId="0">'výkaz výměr'!$10:$12</definedName>
    <definedName name="_xlnm.Print_Area" localSheetId="0">'výkaz výměr'!$A$1:$I$179</definedName>
    <definedName name="vorn_sum">'VORN'!$I$36</definedName>
  </definedNames>
  <calcPr fullCalcOnLoad="1"/>
</workbook>
</file>

<file path=xl/comments1.xml><?xml version="1.0" encoding="utf-8"?>
<comments xmlns="http://schemas.openxmlformats.org/spreadsheetml/2006/main">
  <authors>
    <author>Soňa Mrkvicová</author>
  </authors>
  <commentList>
    <comment ref="H173" authorId="0">
      <text>
        <r>
          <rPr>
            <sz val="8"/>
            <rFont val="Tahoma"/>
            <family val="2"/>
          </rPr>
          <t>DPH (21%) vyčíslete na "Krycím listu nabídky" viz. příloha Výzvy k podání cenové nabídky</t>
        </r>
        <r>
          <rPr>
            <sz val="9"/>
            <rFont val="Tahoma"/>
            <family val="2"/>
          </rPr>
          <t xml:space="preserve">
</t>
        </r>
      </text>
    </comment>
    <comment ref="G118" authorId="0">
      <text>
        <r>
          <rPr>
            <sz val="8"/>
            <rFont val="Tahoma"/>
            <family val="2"/>
          </rPr>
          <t>Objednatel poskytne (pitnou) vodu pro zálivku z vlastních zdrojů.</t>
        </r>
        <r>
          <rPr>
            <sz val="9"/>
            <rFont val="Tahoma"/>
            <family val="2"/>
          </rPr>
          <t xml:space="preserve">
</t>
        </r>
      </text>
    </comment>
    <comment ref="G129" authorId="0">
      <text>
        <r>
          <rPr>
            <sz val="8"/>
            <rFont val="Tahoma"/>
            <family val="2"/>
          </rPr>
          <t>Objednatel poskytne (pitnou) vodu pro zálivku z vlastních zdrojů.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<sst xmlns="http://schemas.openxmlformats.org/spreadsheetml/2006/main" count="1052" uniqueCount="305">
  <si>
    <t>02</t>
  </si>
  <si>
    <t>Vypletí dřevin solitérních na svahu 1:1 - 1. rok</t>
  </si>
  <si>
    <t>Plůtek laťový v patě svahu ze 2 latí,1 pod terénem</t>
  </si>
  <si>
    <t>prkna pro hatě, smrk</t>
  </si>
  <si>
    <t>Kácení ve ztíž.podmínkách prům. do 50 cm, svah 1:1</t>
  </si>
  <si>
    <t>30*1</t>
  </si>
  <si>
    <t>Vypletí dřevin solitérních na svahu 1:1 - 5. rok</t>
  </si>
  <si>
    <t>odrostek velikost 100-150 cm stromy jsou dodávány s balíčkem (textilie</t>
  </si>
  <si>
    <t>112103144R00</t>
  </si>
  <si>
    <t>- nátěr po odstranění invazních rostlin - 2 opakování v 1. sezoně</t>
  </si>
  <si>
    <t>Fraxinus ornus</t>
  </si>
  <si>
    <t>20</t>
  </si>
  <si>
    <t>78+36</t>
  </si>
  <si>
    <t>Název stavby:</t>
  </si>
  <si>
    <t>185804311R00</t>
  </si>
  <si>
    <t>Dovoz vody pro zálivku rostlin do 6 km</t>
  </si>
  <si>
    <t>Příprava půdy pro výsadbu, ve svahu, ruční</t>
  </si>
  <si>
    <t>Lokalita:</t>
  </si>
  <si>
    <t>16</t>
  </si>
  <si>
    <t>24</t>
  </si>
  <si>
    <t>Bez pevné podl.</t>
  </si>
  <si>
    <t>02656030</t>
  </si>
  <si>
    <t>7*30*0,05</t>
  </si>
  <si>
    <t>Zařízení staveniště</t>
  </si>
  <si>
    <t>11_</t>
  </si>
  <si>
    <t>4</t>
  </si>
  <si>
    <t>Vod.přemístění kmenů jehlič., D 30cm  do 5000 m</t>
  </si>
  <si>
    <t>26</t>
  </si>
  <si>
    <t>Prkno krajinové stavební SM/JD/BO 25 mm, 2 - 5 m</t>
  </si>
  <si>
    <t>44992785/</t>
  </si>
  <si>
    <t>0,05*10</t>
  </si>
  <si>
    <t>Vedlejší a ostatní rozpočtové náklady</t>
  </si>
  <si>
    <t>46_</t>
  </si>
  <si>
    <t>5. rok stromy</t>
  </si>
  <si>
    <t>Odstranění dřevin výš.nad 1m, svah 1:1, bez pařezu</t>
  </si>
  <si>
    <t>6</t>
  </si>
  <si>
    <t>03</t>
  </si>
  <si>
    <t>Vedlejší a ostatní rozpočtové náklady (01 - Kácení)</t>
  </si>
  <si>
    <t>stromy</t>
  </si>
  <si>
    <t>Náklady na umístění stavby (NUS)</t>
  </si>
  <si>
    <t>Zpevněné plochy (kromě vozovek a železničního svršku)</t>
  </si>
  <si>
    <t>4. rok</t>
  </si>
  <si>
    <t>Akátové kůly štípané, 1/2-1/6 kulatin</t>
  </si>
  <si>
    <t>plochy po probírkách</t>
  </si>
  <si>
    <t>1. rok keře</t>
  </si>
  <si>
    <t>Výchovný řez do 4 m</t>
  </si>
  <si>
    <t>pro keře - vždy 2 kůly a 1 m dlouhé latě</t>
  </si>
  <si>
    <t>Vedlejší a ostatní rozpočtové náklady (02 - Výsadby)</t>
  </si>
  <si>
    <t>112103143R00</t>
  </si>
  <si>
    <t>Zalití rostlin vodou plochy do 20 m2</t>
  </si>
  <si>
    <t>Základna</t>
  </si>
  <si>
    <t>25</t>
  </si>
  <si>
    <t>kus</t>
  </si>
  <si>
    <t>30*1*0,5*3</t>
  </si>
  <si>
    <t>soustava</t>
  </si>
  <si>
    <t>Ostatní mat.</t>
  </si>
  <si>
    <t>Herbicid totální, bal. 20 l</t>
  </si>
  <si>
    <t>5. rok</t>
  </si>
  <si>
    <t>184102131R00</t>
  </si>
  <si>
    <t>HSV prac</t>
  </si>
  <si>
    <t>Kácení ve ztíž.podmínkách prům. do 30 cm, svah 1:1</t>
  </si>
  <si>
    <t>09080988/</t>
  </si>
  <si>
    <t>5*30*0,05</t>
  </si>
  <si>
    <t>13</t>
  </si>
  <si>
    <t>;ztratné 8%; 3,888</t>
  </si>
  <si>
    <t>60554144</t>
  </si>
  <si>
    <t>183400020RAA</t>
  </si>
  <si>
    <t>Konec výstavby:</t>
  </si>
  <si>
    <t>162301415R00</t>
  </si>
  <si>
    <t>25234002.A</t>
  </si>
  <si>
    <t>162301416R00</t>
  </si>
  <si>
    <t>02_1_</t>
  </si>
  <si>
    <t>MJ</t>
  </si>
  <si>
    <t>40</t>
  </si>
  <si>
    <t>naložení a odvoz dřevin</t>
  </si>
  <si>
    <t>78+36*2</t>
  </si>
  <si>
    <t>Celkem ORN</t>
  </si>
  <si>
    <t>Vod.přemístění kmenů jehlič., D 50cm  do 5000 m</t>
  </si>
  <si>
    <t>velikost 30-40 cm kontejner o objemu 2</t>
  </si>
  <si>
    <t>RTS komentář:</t>
  </si>
  <si>
    <t>PSV prac</t>
  </si>
  <si>
    <t>Vedlejší rozpočtové náklady VRN</t>
  </si>
  <si>
    <t>10*1*0,5*3</t>
  </si>
  <si>
    <t>70*0,5</t>
  </si>
  <si>
    <t>9</t>
  </si>
  <si>
    <t>odstranění kvůli výsadbám</t>
  </si>
  <si>
    <t>15</t>
  </si>
  <si>
    <t>ISWORK</t>
  </si>
  <si>
    <t>Celkem NUS</t>
  </si>
  <si>
    <t>Kůl vyvazovací impregnovaný 200 x 5 cm</t>
  </si>
  <si>
    <t>1. rok stromy</t>
  </si>
  <si>
    <t>vždy 2 kůly na 1 hať</t>
  </si>
  <si>
    <t>608500011</t>
  </si>
  <si>
    <t>02656031</t>
  </si>
  <si>
    <t>Výsadba dřevin s balem D do 20 cm, na svahu 1:1</t>
  </si>
  <si>
    <t>Mont prac</t>
  </si>
  <si>
    <t>Osazení kůlů k dřevině s uvázáním, dl. kůlů do 2 m</t>
  </si>
  <si>
    <t>184802311R00</t>
  </si>
  <si>
    <t>40*0,5*0,5</t>
  </si>
  <si>
    <t>l</t>
  </si>
  <si>
    <t>23</t>
  </si>
  <si>
    <t>RTS II / 2023</t>
  </si>
  <si>
    <t>361501020010/71  tkací vazba: vícevrstvá, spojovaná materiál: bavlna a její směsi provedení jednobarevné, režná, bílá bez úprav</t>
  </si>
  <si>
    <t>Vypletí dřevin solitérních na svahu 1:1 - 4. rok</t>
  </si>
  <si>
    <t>t</t>
  </si>
  <si>
    <t>3*10*0,03</t>
  </si>
  <si>
    <t>frézovaný válec délka 200 cm průměr 5 cm 1 x fazeta 1 x špice vakuotlaková impregnace - zelen</t>
  </si>
  <si>
    <t>Vedlejší a ostatní rozpočtové náklady (03 - Následná péče)</t>
  </si>
  <si>
    <t>02_4_</t>
  </si>
  <si>
    <t>JKSO:</t>
  </si>
  <si>
    <t>30*1*0,5</t>
  </si>
  <si>
    <t>18_</t>
  </si>
  <si>
    <t>3. rok stromy</t>
  </si>
  <si>
    <t>4. rok keře</t>
  </si>
  <si>
    <t>Varianta:</t>
  </si>
  <si>
    <t>30+40</t>
  </si>
  <si>
    <t>2. rok</t>
  </si>
  <si>
    <t>GROUPCODE</t>
  </si>
  <si>
    <t>Provozní vlivy</t>
  </si>
  <si>
    <t>5</t>
  </si>
  <si>
    <t>Výsadba dřevin s balem D do 30 cm, na svahu 1:1</t>
  </si>
  <si>
    <t>979087007R00</t>
  </si>
  <si>
    <t>184901111R00</t>
  </si>
  <si>
    <t>pro stromy</t>
  </si>
  <si>
    <t>Druh stavby:</t>
  </si>
  <si>
    <t>Přípravné a přidružené práce</t>
  </si>
  <si>
    <t>03_1_</t>
  </si>
  <si>
    <t>3. rok keře</t>
  </si>
  <si>
    <t>2. rok keře</t>
  </si>
  <si>
    <t>stromy z náletů</t>
  </si>
  <si>
    <t>60517551</t>
  </si>
  <si>
    <t>10</t>
  </si>
  <si>
    <t>jako materiál bude použita štěpka z pokácených rostlin</t>
  </si>
  <si>
    <t>3*30*0,05</t>
  </si>
  <si>
    <t>14</t>
  </si>
  <si>
    <t>Kondicionér fyzikální půdní</t>
  </si>
  <si>
    <t>001</t>
  </si>
  <si>
    <t>pro keře</t>
  </si>
  <si>
    <t>chemické odplevelení, rytí, hnojení</t>
  </si>
  <si>
    <t>probírka</t>
  </si>
  <si>
    <t>111212123R00</t>
  </si>
  <si>
    <t>3. rok</t>
  </si>
  <si>
    <t>Typ skupiny</t>
  </si>
  <si>
    <t>;ztratné 15%; 0,0585</t>
  </si>
  <si>
    <t>112103142R00</t>
  </si>
  <si>
    <t>Acer campestre</t>
  </si>
  <si>
    <t>19</t>
  </si>
  <si>
    <t>Kůl vyvazovací impregnovaný 120 x 5 cm</t>
  </si>
  <si>
    <t>30</t>
  </si>
  <si>
    <t>IČO/DIČ:</t>
  </si>
  <si>
    <t>02656017</t>
  </si>
  <si>
    <t>Ostatní</t>
  </si>
  <si>
    <t>Zpracoval:</t>
  </si>
  <si>
    <t>185804241R00</t>
  </si>
  <si>
    <t>183105114R00</t>
  </si>
  <si>
    <t>183105113R00</t>
  </si>
  <si>
    <t>Chem. odplevelení před založ. postřikem, svah 1:1</t>
  </si>
  <si>
    <t>162702292R00</t>
  </si>
  <si>
    <t>Kůl štípaný akátový d = 100 - 150 x 1500 mm</t>
  </si>
  <si>
    <t>Popruh vícevrstvý bavlna šíře 20 mm</t>
  </si>
  <si>
    <t>2</t>
  </si>
  <si>
    <t>Projektant:</t>
  </si>
  <si>
    <t/>
  </si>
  <si>
    <t>17</t>
  </si>
  <si>
    <t>1. rok</t>
  </si>
  <si>
    <t>ks</t>
  </si>
  <si>
    <t>zvyšuje vodní retenční kapacitu půdy a přístupnost hnojiv, zlepšuje půdní struktury, omezuje účinky přesazovacího šoku. Vhodný pro použití v degradovaných nebo problematických půdách. Půdní kondicionér se musí smíchat s růstovým médiem do kořenové zóny.</t>
  </si>
  <si>
    <t>21</t>
  </si>
  <si>
    <t>5*10*0,03</t>
  </si>
  <si>
    <t>Práce přesčas</t>
  </si>
  <si>
    <t>Javor babyka - Acer campestre, odrostek v.100-150 cm</t>
  </si>
  <si>
    <t>Dřín obecný- Cornus mas</t>
  </si>
  <si>
    <t>12</t>
  </si>
  <si>
    <t>185851111R00</t>
  </si>
  <si>
    <t>Kulturní památka</t>
  </si>
  <si>
    <t>01</t>
  </si>
  <si>
    <t>112103141R00</t>
  </si>
  <si>
    <t>Drcení ořezaných větví průměru do 15 cm</t>
  </si>
  <si>
    <t>Poplatek za skládku: větve a kulatiny</t>
  </si>
  <si>
    <t>výběr z náletů</t>
  </si>
  <si>
    <t>Vypletí dřevin solitérních na svahu 1:1 - 2. rok</t>
  </si>
  <si>
    <t>Přesuny</t>
  </si>
  <si>
    <t>MAT</t>
  </si>
  <si>
    <t>Vypletí dřevin solitérních na svahu 1:1 - 3. rok</t>
  </si>
  <si>
    <t>8</t>
  </si>
  <si>
    <t>Mimostav. doprava</t>
  </si>
  <si>
    <t>18</t>
  </si>
  <si>
    <t>- nátěr po odstranění invazních rostlin - 2 opakování v 2. sezoně</t>
  </si>
  <si>
    <t>46</t>
  </si>
  <si>
    <t>1,3*0,15*0,05*40</t>
  </si>
  <si>
    <t>10*1</t>
  </si>
  <si>
    <t>Hloub. jamek bez výměny půdy do 0,125 m3, svah 1:1</t>
  </si>
  <si>
    <t>Voda pitná - vodné</t>
  </si>
  <si>
    <t>111251115R00</t>
  </si>
  <si>
    <t>velikost 100-150 cm stromy jsou dodávány s balíčkem (textilie</t>
  </si>
  <si>
    <t>m</t>
  </si>
  <si>
    <t>4. rok stromy</t>
  </si>
  <si>
    <t>Přemístění výkopku</t>
  </si>
  <si>
    <t>11</t>
  </si>
  <si>
    <t>2* (30+10)</t>
  </si>
  <si>
    <t>Objednatel:</t>
  </si>
  <si>
    <t>184921095R00</t>
  </si>
  <si>
    <t>PSV mat</t>
  </si>
  <si>
    <t>608500101</t>
  </si>
  <si>
    <t>Hloub. jamek bez výměny půdy do 0,05 m3, svah 1:1</t>
  </si>
  <si>
    <t>3</t>
  </si>
  <si>
    <t>Zhotovitel:</t>
  </si>
  <si>
    <t>%</t>
  </si>
  <si>
    <t>10*1*0,5</t>
  </si>
  <si>
    <t>02_</t>
  </si>
  <si>
    <t>35</t>
  </si>
  <si>
    <t>Začátek výstavby:</t>
  </si>
  <si>
    <t>stromy č. 4. 9. 10. 11. 12. 18. 20</t>
  </si>
  <si>
    <t>01_1_</t>
  </si>
  <si>
    <t>Mont mat</t>
  </si>
  <si>
    <t>2. rok stromy</t>
  </si>
  <si>
    <t>10391505.A</t>
  </si>
  <si>
    <t xml:space="preserve"> </t>
  </si>
  <si>
    <t>16_</t>
  </si>
  <si>
    <t>keře</t>
  </si>
  <si>
    <t>469953211R00</t>
  </si>
  <si>
    <t>21*5</t>
  </si>
  <si>
    <t>Cornus mas</t>
  </si>
  <si>
    <t>184804112R00</t>
  </si>
  <si>
    <t>Kácení ve ztíž.podmínkách prům. do 20 cm, svah 1:1</t>
  </si>
  <si>
    <t>kg</t>
  </si>
  <si>
    <t>Kácení ve ztíž.podmínkách prům. do 40 cm, svah 1:1</t>
  </si>
  <si>
    <t>22</t>
  </si>
  <si>
    <t>184102132R00</t>
  </si>
  <si>
    <t>Územní vlivy</t>
  </si>
  <si>
    <t>m3</t>
  </si>
  <si>
    <t>08211320</t>
  </si>
  <si>
    <t>Datum:</t>
  </si>
  <si>
    <t>27</t>
  </si>
  <si>
    <t>m2</t>
  </si>
  <si>
    <t>NUS z rozpočtu</t>
  </si>
  <si>
    <t>nově vysazené</t>
  </si>
  <si>
    <t>Fraxinus ornus, odrostek v.100-150 cm</t>
  </si>
  <si>
    <t>1</t>
  </si>
  <si>
    <t>7</t>
  </si>
  <si>
    <t>- naložení a přeprava kmenů odstraněných dřevin</t>
  </si>
  <si>
    <t>Mulčování rostlin tl. do 0,1 m, svah do 1:1</t>
  </si>
  <si>
    <t>Položek:</t>
  </si>
  <si>
    <t>WORK</t>
  </si>
  <si>
    <t>Povrchové úpravy terénu</t>
  </si>
  <si>
    <t>frézovaný válec délka 120 cm průměr 5 cm 1 x fazeta 1 x špice vakuotlaková impregnace - zelen</t>
  </si>
  <si>
    <t>dříny</t>
  </si>
  <si>
    <t>Odvoz dřevěných konstrukcí na skládku do 5 km - odvoz do kompostárny</t>
  </si>
  <si>
    <t>Ostatní rozpočtové náklady ORN</t>
  </si>
  <si>
    <t>Plůtek v patě svahu, z kůlů průměru od 100 do 120 mm, délky od 1 do 1,5 m zaražených v osové vzdálenosti 1,5 m a z tyčových výřezů průměru od 100 do 120 mm připevněných na kůly. Vykopávka rýh pro plůtek, na zásyp rýhy po osazení latí a na zásyp za latěmi zeminou získanou na místě s úpravou povrchu zásypu ve sklonu k plůtku</t>
  </si>
  <si>
    <t>70836126.A</t>
  </si>
  <si>
    <t>HSV mat</t>
  </si>
  <si>
    <t>Kč</t>
  </si>
  <si>
    <t>stromy inv. č. 13, 17, 19</t>
  </si>
  <si>
    <t>Celkem VRN</t>
  </si>
  <si>
    <t>po kácení keřů</t>
  </si>
  <si>
    <t>7*10*0,03</t>
  </si>
  <si>
    <t>Ostatní rozpočtové náklady (ORN)</t>
  </si>
  <si>
    <t>Celkem DN</t>
  </si>
  <si>
    <t>28</t>
  </si>
  <si>
    <t>01_</t>
  </si>
  <si>
    <t>CELK</t>
  </si>
  <si>
    <t>5. rok keře</t>
  </si>
  <si>
    <t>VATTAX</t>
  </si>
  <si>
    <t>Doplňkové náklady DN</t>
  </si>
  <si>
    <t>pro stromy - vždy 2 kůly a 1 m dlouhé latě</t>
  </si>
  <si>
    <t>03_</t>
  </si>
  <si>
    <t>0,1*30</t>
  </si>
  <si>
    <t>35*2</t>
  </si>
  <si>
    <t>MŠ Brno, Úvoz 57 - kácení a výsadba náhradní zeleně ve svahu</t>
  </si>
  <si>
    <t>veřejná zakázka malého rozsahu na služby</t>
  </si>
  <si>
    <t>Dopište název společnosti ……………………..</t>
  </si>
  <si>
    <t>A)</t>
  </si>
  <si>
    <t>B)</t>
  </si>
  <si>
    <t>C)</t>
  </si>
  <si>
    <t>množství</t>
  </si>
  <si>
    <t>Dominikánská 264/2, 601 69 Brno</t>
  </si>
  <si>
    <t>zástupce:</t>
  </si>
  <si>
    <t>Odbor školství, sportu, kultury a mládeže (OŠSKM)</t>
  </si>
  <si>
    <t>Ve Zmolách 1, 675 73 Kralice nad Oslavou</t>
  </si>
  <si>
    <r>
      <rPr>
        <b/>
        <sz val="10"/>
        <rFont val="Arial"/>
        <family val="2"/>
      </rPr>
      <t>Atelier V8 s. r. o.</t>
    </r>
    <r>
      <rPr>
        <sz val="10"/>
        <rFont val="Arial"/>
        <family val="2"/>
      </rPr>
      <t>, IČO: 09080988</t>
    </r>
  </si>
  <si>
    <r>
      <t xml:space="preserve">Statutární město Brno, městská část Brno-střed, </t>
    </r>
    <r>
      <rPr>
        <sz val="10"/>
        <rFont val="Arial"/>
        <family val="2"/>
      </rPr>
      <t>IČO: 44992785</t>
    </r>
  </si>
  <si>
    <t>jednotková</t>
  </si>
  <si>
    <t>cena</t>
  </si>
  <si>
    <t xml:space="preserve">celková </t>
  </si>
  <si>
    <t>č.p.</t>
  </si>
  <si>
    <t>Ing. Jitka Vágnerová</t>
  </si>
  <si>
    <t>tel.: 723 078 457, e-mail: vagnerova.jit@seznam.cz</t>
  </si>
  <si>
    <t>CELKEM Kč bez DPH</t>
  </si>
  <si>
    <t>Ochrana dřevin před okusem z drát.pletiva v rovině - instalace plast. chráníčky, vč. materiálu</t>
  </si>
  <si>
    <t>cenová</t>
  </si>
  <si>
    <t>kód položky</t>
  </si>
  <si>
    <t>popis položky</t>
  </si>
  <si>
    <t>Položkový soupis / Výkaz výměr</t>
  </si>
  <si>
    <t>POZNÁMKY:</t>
  </si>
  <si>
    <t xml:space="preserve">Zbudování zařízení staveniště na pozemcích MŠ objednatel na tomto typu zakázky nepředpokládá. </t>
  </si>
  <si>
    <t>Uvedená celková cena je cena konečná a obsahuje všechny náklady vyplývající z předmětu díla a obchodních podmínek, aniž by takové položky byly výslovně uvedeny ve výkazu výměr.</t>
  </si>
  <si>
    <t>A+B+C</t>
  </si>
  <si>
    <t>NÁSLEDNÁ PÉČE</t>
  </si>
  <si>
    <t>VÝSADBY</t>
  </si>
  <si>
    <t>KÁCENÍ</t>
  </si>
  <si>
    <t>stromy inv. č. 5. 7. 8. 14. 16. 21</t>
  </si>
  <si>
    <t>stromy inv. č. 1, 2, 3, 6, 15</t>
  </si>
  <si>
    <t xml:space="preserve">Výše uvedené položky budou fakturovány dle skutečnosti. </t>
  </si>
  <si>
    <t>NEOCEŇOVAT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</si>
</sst>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  <numFmt numFmtId="169" formatCode="#,##0.00000"/>
  </numFmts>
  <fonts count="79">
    <font>
      <sz val="7"/>
      <name val="Arial"/>
      <family val="0"/>
    </font>
    <font>
      <sz val="11"/>
      <name val="Calibri"/>
      <family val="0"/>
    </font>
    <font>
      <sz val="9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9"/>
      <name val="Calibri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color indexed="1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0"/>
    </font>
    <font>
      <sz val="18"/>
      <color indexed="8"/>
      <name val="Arial"/>
      <family val="0"/>
    </font>
    <font>
      <strike/>
      <sz val="10"/>
      <color indexed="8"/>
      <name val="Arial"/>
      <family val="2"/>
    </font>
    <font>
      <i/>
      <strike/>
      <sz val="10"/>
      <color indexed="18"/>
      <name val="Arial"/>
      <family val="2"/>
    </font>
    <font>
      <b/>
      <strike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10"/>
      <color rgb="FF000080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trike/>
      <sz val="10"/>
      <color rgb="FF000000"/>
      <name val="Arial"/>
      <family val="2"/>
    </font>
    <font>
      <i/>
      <strike/>
      <sz val="10"/>
      <color rgb="FF000080"/>
      <name val="Arial"/>
      <family val="2"/>
    </font>
    <font>
      <b/>
      <strike/>
      <sz val="10"/>
      <color rgb="FF000000"/>
      <name val="Arial"/>
      <family val="2"/>
    </font>
    <font>
      <b/>
      <u val="single"/>
      <sz val="12"/>
      <color rgb="FF000000"/>
      <name val="Arial"/>
      <family val="2"/>
    </font>
    <font>
      <b/>
      <sz val="14"/>
      <color rgb="FF000000"/>
      <name val="Arial"/>
      <family val="2"/>
    </font>
    <font>
      <sz val="18"/>
      <color rgb="FF000000"/>
      <name val="Arial"/>
      <family val="0"/>
    </font>
    <font>
      <b/>
      <sz val="12"/>
      <color rgb="FF000000"/>
      <name val="Arial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medium"/>
      <right style="medium"/>
      <top style="medium"/>
      <bottom style="medium"/>
    </border>
    <border>
      <left>
        <color indexed="8"/>
      </left>
      <right>
        <color indexed="8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>
        <color indexed="8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/>
      <right style="medium"/>
      <top style="medium"/>
      <bottom/>
    </border>
    <border>
      <left>
        <color indexed="8"/>
      </left>
      <right style="medium"/>
      <top/>
      <bottom style="medium"/>
    </border>
    <border>
      <left style="thin">
        <color rgb="FF000000"/>
      </left>
      <right>
        <color indexed="63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>
        <color indexed="63"/>
      </right>
      <top/>
      <bottom style="medium"/>
    </border>
    <border>
      <left>
        <color rgb="FF000000"/>
      </left>
      <right style="thin">
        <color rgb="FF000000"/>
      </right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>
        <color rgb="FF000000"/>
      </left>
      <right/>
      <top style="medium">
        <color rgb="FF000000"/>
      </top>
      <bottom style="medium">
        <color rgb="FF000000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4" fillId="0" borderId="0">
      <alignment/>
      <protection/>
    </xf>
    <xf numFmtId="0" fontId="44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61">
    <xf numFmtId="0" fontId="1" fillId="0" borderId="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4" fontId="6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4" fontId="62" fillId="0" borderId="11" xfId="0" applyNumberFormat="1" applyFont="1" applyFill="1" applyBorder="1" applyAlignment="1" applyProtection="1">
      <alignment horizontal="right" vertical="center"/>
      <protection/>
    </xf>
    <xf numFmtId="0" fontId="63" fillId="0" borderId="10" xfId="0" applyNumberFormat="1" applyFont="1" applyFill="1" applyBorder="1" applyAlignment="1" applyProtection="1">
      <alignment horizontal="left" vertical="center"/>
      <protection/>
    </xf>
    <xf numFmtId="0" fontId="62" fillId="0" borderId="12" xfId="0" applyNumberFormat="1" applyFont="1" applyFill="1" applyBorder="1" applyAlignment="1" applyProtection="1">
      <alignment horizontal="right" vertical="center"/>
      <protection/>
    </xf>
    <xf numFmtId="0" fontId="63" fillId="33" borderId="0" xfId="0" applyNumberFormat="1" applyFont="1" applyFill="1" applyBorder="1" applyAlignment="1" applyProtection="1">
      <alignment horizontal="left" vertical="center"/>
      <protection/>
    </xf>
    <xf numFmtId="0" fontId="62" fillId="33" borderId="0" xfId="0" applyNumberFormat="1" applyFont="1" applyFill="1" applyBorder="1" applyAlignment="1" applyProtection="1">
      <alignment horizontal="right" vertical="center"/>
      <protection/>
    </xf>
    <xf numFmtId="0" fontId="63" fillId="0" borderId="0" xfId="0" applyNumberFormat="1" applyFont="1" applyFill="1" applyBorder="1" applyAlignment="1" applyProtection="1">
      <alignment horizontal="right" vertical="center"/>
      <protection/>
    </xf>
    <xf numFmtId="4" fontId="63" fillId="0" borderId="13" xfId="0" applyNumberFormat="1" applyFont="1" applyFill="1" applyBorder="1" applyAlignment="1" applyProtection="1">
      <alignment horizontal="right" vertical="center"/>
      <protection/>
    </xf>
    <xf numFmtId="0" fontId="63" fillId="0" borderId="14" xfId="0" applyNumberFormat="1" applyFont="1" applyFill="1" applyBorder="1" applyAlignment="1" applyProtection="1">
      <alignment horizontal="left" vertical="center"/>
      <protection/>
    </xf>
    <xf numFmtId="4" fontId="63" fillId="0" borderId="14" xfId="0" applyNumberFormat="1" applyFont="1" applyFill="1" applyBorder="1" applyAlignment="1" applyProtection="1">
      <alignment horizontal="righ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0" fontId="62" fillId="0" borderId="11" xfId="0" applyNumberFormat="1" applyFont="1" applyFill="1" applyBorder="1" applyAlignment="1" applyProtection="1">
      <alignment horizontal="left" vertical="center"/>
      <protection/>
    </xf>
    <xf numFmtId="4" fontId="62" fillId="33" borderId="0" xfId="0" applyNumberFormat="1" applyFont="1" applyFill="1" applyBorder="1" applyAlignment="1" applyProtection="1">
      <alignment horizontal="right" vertical="center"/>
      <protection/>
    </xf>
    <xf numFmtId="0" fontId="63" fillId="0" borderId="13" xfId="0" applyNumberFormat="1" applyFont="1" applyFill="1" applyBorder="1" applyAlignment="1" applyProtection="1">
      <alignment horizontal="left" vertical="center"/>
      <protection/>
    </xf>
    <xf numFmtId="0" fontId="62" fillId="0" borderId="11" xfId="0" applyNumberFormat="1" applyFont="1" applyFill="1" applyBorder="1" applyAlignment="1" applyProtection="1">
      <alignment horizontal="right" vertical="center"/>
      <protection/>
    </xf>
    <xf numFmtId="4" fontId="63" fillId="0" borderId="0" xfId="0" applyNumberFormat="1" applyFont="1" applyFill="1" applyBorder="1" applyAlignment="1" applyProtection="1">
      <alignment horizontal="right" vertical="center"/>
      <protection/>
    </xf>
    <xf numFmtId="0" fontId="63" fillId="33" borderId="10" xfId="0" applyNumberFormat="1" applyFont="1" applyFill="1" applyBorder="1" applyAlignment="1" applyProtection="1">
      <alignment horizontal="left" vertical="center"/>
      <protection/>
    </xf>
    <xf numFmtId="0" fontId="62" fillId="33" borderId="0" xfId="0" applyNumberFormat="1" applyFont="1" applyFill="1" applyBorder="1" applyAlignment="1" applyProtection="1">
      <alignment horizontal="left" vertical="center"/>
      <protection/>
    </xf>
    <xf numFmtId="0" fontId="62" fillId="0" borderId="0" xfId="0" applyNumberFormat="1" applyFont="1" applyFill="1" applyBorder="1" applyAlignment="1" applyProtection="1">
      <alignment horizontal="right" vertical="center"/>
      <protection/>
    </xf>
    <xf numFmtId="4" fontId="62" fillId="33" borderId="0" xfId="0" applyNumberFormat="1" applyFont="1" applyFill="1" applyBorder="1" applyAlignment="1" applyProtection="1">
      <alignment horizontal="right" vertical="center"/>
      <protection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4" fontId="62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62" fillId="34" borderId="0" xfId="0" applyNumberFormat="1" applyFont="1" applyFill="1" applyBorder="1" applyAlignment="1" applyProtection="1">
      <alignment horizontal="left" vertical="center"/>
      <protection/>
    </xf>
    <xf numFmtId="0" fontId="63" fillId="34" borderId="0" xfId="0" applyNumberFormat="1" applyFont="1" applyFill="1" applyBorder="1" applyAlignment="1" applyProtection="1">
      <alignment horizontal="left" vertical="center"/>
      <protection/>
    </xf>
    <xf numFmtId="0" fontId="62" fillId="34" borderId="10" xfId="0" applyNumberFormat="1" applyFont="1" applyFill="1" applyBorder="1" applyAlignment="1" applyProtection="1">
      <alignment horizontal="left" vertical="center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1" fillId="2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4" fontId="62" fillId="34" borderId="0" xfId="0" applyNumberFormat="1" applyFont="1" applyFill="1" applyBorder="1" applyAlignment="1" applyProtection="1">
      <alignment horizontal="right" vertical="center"/>
      <protection/>
    </xf>
    <xf numFmtId="4" fontId="62" fillId="33" borderId="0" xfId="0" applyNumberFormat="1" applyFont="1" applyFill="1" applyBorder="1" applyAlignment="1" applyProtection="1">
      <alignment horizontal="right" vertical="center"/>
      <protection/>
    </xf>
    <xf numFmtId="4" fontId="6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horizontal="left" vertical="center"/>
      <protection/>
    </xf>
    <xf numFmtId="0" fontId="65" fillId="34" borderId="14" xfId="0" applyNumberFormat="1" applyFont="1" applyFill="1" applyBorder="1" applyAlignment="1" applyProtection="1">
      <alignment horizontal="right" vertical="center"/>
      <protection/>
    </xf>
    <xf numFmtId="0" fontId="65" fillId="33" borderId="14" xfId="0" applyNumberFormat="1" applyFont="1" applyFill="1" applyBorder="1" applyAlignment="1" applyProtection="1">
      <alignment horizontal="right" vertical="center"/>
      <protection/>
    </xf>
    <xf numFmtId="0" fontId="64" fillId="0" borderId="14" xfId="0" applyNumberFormat="1" applyFont="1" applyFill="1" applyBorder="1" applyAlignment="1" applyProtection="1">
      <alignment horizontal="right" vertical="center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3" fillId="0" borderId="15" xfId="0" applyNumberFormat="1" applyFont="1" applyFill="1" applyBorder="1" applyAlignment="1" applyProtection="1">
      <alignment horizontal="left" vertical="center"/>
      <protection/>
    </xf>
    <xf numFmtId="0" fontId="63" fillId="0" borderId="16" xfId="0" applyNumberFormat="1" applyFont="1" applyFill="1" applyBorder="1" applyAlignment="1" applyProtection="1">
      <alignment horizontal="left" vertical="center"/>
      <protection/>
    </xf>
    <xf numFmtId="4" fontId="63" fillId="0" borderId="16" xfId="0" applyNumberFormat="1" applyFont="1" applyFill="1" applyBorder="1" applyAlignment="1" applyProtection="1">
      <alignment horizontal="right" vertical="center"/>
      <protection/>
    </xf>
    <xf numFmtId="4" fontId="62" fillId="0" borderId="16" xfId="0" applyNumberFormat="1" applyFont="1" applyFill="1" applyBorder="1" applyAlignment="1" applyProtection="1">
      <alignment horizontal="right" vertical="center"/>
      <protection/>
    </xf>
    <xf numFmtId="0" fontId="64" fillId="0" borderId="17" xfId="0" applyNumberFormat="1" applyFont="1" applyFill="1" applyBorder="1" applyAlignment="1" applyProtection="1">
      <alignment horizontal="right" vertical="center"/>
      <protection/>
    </xf>
    <xf numFmtId="0" fontId="1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NumberFormat="1" applyFont="1" applyFill="1" applyBorder="1" applyAlignment="1" applyProtection="1">
      <alignment vertical="center"/>
      <protection/>
    </xf>
    <xf numFmtId="0" fontId="7" fillId="35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6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left" vertical="center" indent="1"/>
      <protection/>
    </xf>
    <xf numFmtId="0" fontId="63" fillId="0" borderId="0" xfId="0" applyNumberFormat="1" applyFont="1" applyFill="1" applyBorder="1" applyAlignment="1" applyProtection="1">
      <alignment horizontal="left" vertical="center" indent="1"/>
      <protection/>
    </xf>
    <xf numFmtId="0" fontId="1" fillId="0" borderId="0" xfId="0" applyNumberFormat="1" applyFont="1" applyFill="1" applyBorder="1" applyAlignment="1" applyProtection="1">
      <alignment horizontal="left" indent="1"/>
      <protection/>
    </xf>
    <xf numFmtId="0" fontId="67" fillId="2" borderId="0" xfId="0" applyFont="1" applyFill="1" applyBorder="1" applyAlignment="1" applyProtection="1">
      <alignment horizontal="left" indent="1"/>
      <protection locked="0"/>
    </xf>
    <xf numFmtId="4" fontId="62" fillId="35" borderId="18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right" indent="1"/>
    </xf>
    <xf numFmtId="168" fontId="0" fillId="0" borderId="0" xfId="0" applyNumberFormat="1" applyFont="1" applyAlignment="1">
      <alignment horizontal="right" indent="1"/>
    </xf>
    <xf numFmtId="4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 horizontal="right"/>
    </xf>
    <xf numFmtId="0" fontId="6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center"/>
      <protection/>
    </xf>
    <xf numFmtId="0" fontId="62" fillId="0" borderId="19" xfId="0" applyNumberFormat="1" applyFont="1" applyFill="1" applyBorder="1" applyAlignment="1" applyProtection="1">
      <alignment horizontal="center" vertical="center"/>
      <protection/>
    </xf>
    <xf numFmtId="0" fontId="62" fillId="0" borderId="20" xfId="0" applyNumberFormat="1" applyFont="1" applyFill="1" applyBorder="1" applyAlignment="1" applyProtection="1">
      <alignment horizontal="center" vertical="center"/>
      <protection/>
    </xf>
    <xf numFmtId="0" fontId="62" fillId="0" borderId="21" xfId="0" applyNumberFormat="1" applyFont="1" applyFill="1" applyBorder="1" applyAlignment="1" applyProtection="1">
      <alignment horizontal="center" vertical="center"/>
      <protection/>
    </xf>
    <xf numFmtId="0" fontId="62" fillId="0" borderId="22" xfId="0" applyNumberFormat="1" applyFont="1" applyFill="1" applyBorder="1" applyAlignment="1" applyProtection="1">
      <alignment horizontal="center" vertical="center"/>
      <protection/>
    </xf>
    <xf numFmtId="0" fontId="62" fillId="0" borderId="23" xfId="0" applyNumberFormat="1" applyFont="1" applyFill="1" applyBorder="1" applyAlignment="1" applyProtection="1">
      <alignment horizontal="center" vertical="center"/>
      <protection/>
    </xf>
    <xf numFmtId="0" fontId="62" fillId="0" borderId="24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6" fillId="0" borderId="0" xfId="0" applyNumberFormat="1" applyFont="1" applyFill="1" applyBorder="1" applyAlignment="1" applyProtection="1">
      <alignment horizontal="left" vertical="center" wrapText="1"/>
      <protection/>
    </xf>
    <xf numFmtId="0" fontId="66" fillId="0" borderId="0" xfId="0" applyNumberFormat="1" applyFont="1" applyFill="1" applyBorder="1" applyAlignment="1" applyProtection="1">
      <alignment horizontal="left" vertical="center"/>
      <protection/>
    </xf>
    <xf numFmtId="0" fontId="66" fillId="0" borderId="14" xfId="0" applyNumberFormat="1" applyFont="1" applyFill="1" applyBorder="1" applyAlignment="1" applyProtection="1">
      <alignment horizontal="left" vertical="center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4" xfId="0" applyNumberFormat="1" applyFont="1" applyFill="1" applyBorder="1" applyAlignment="1" applyProtection="1">
      <alignment horizontal="left" vertical="center"/>
      <protection/>
    </xf>
    <xf numFmtId="0" fontId="71" fillId="0" borderId="10" xfId="0" applyNumberFormat="1" applyFont="1" applyFill="1" applyBorder="1" applyAlignment="1" applyProtection="1">
      <alignment horizontal="left" vertical="center"/>
      <protection/>
    </xf>
    <xf numFmtId="0" fontId="71" fillId="0" borderId="0" xfId="0" applyNumberFormat="1" applyFont="1" applyFill="1" applyBorder="1" applyAlignment="1" applyProtection="1">
      <alignment horizontal="left" vertical="center"/>
      <protection/>
    </xf>
    <xf numFmtId="4" fontId="71" fillId="0" borderId="0" xfId="0" applyNumberFormat="1" applyFont="1" applyFill="1" applyBorder="1" applyAlignment="1" applyProtection="1">
      <alignment horizontal="right" vertical="center"/>
      <protection/>
    </xf>
    <xf numFmtId="0" fontId="71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 horizontal="left" vertical="center"/>
      <protection/>
    </xf>
    <xf numFmtId="4" fontId="7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/>
      <protection/>
    </xf>
    <xf numFmtId="4" fontId="63" fillId="2" borderId="0" xfId="0" applyNumberFormat="1" applyFont="1" applyFill="1" applyBorder="1" applyAlignment="1" applyProtection="1">
      <alignment horizontal="left" vertical="center"/>
      <protection/>
    </xf>
    <xf numFmtId="4" fontId="73" fillId="2" borderId="0" xfId="0" applyNumberFormat="1" applyFont="1" applyFill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center"/>
      <protection/>
    </xf>
    <xf numFmtId="0" fontId="74" fillId="0" borderId="0" xfId="0" applyNumberFormat="1" applyFont="1" applyFill="1" applyBorder="1" applyAlignment="1" applyProtection="1">
      <alignment horizontal="center" vertical="top"/>
      <protection/>
    </xf>
    <xf numFmtId="0" fontId="75" fillId="0" borderId="0" xfId="0" applyNumberFormat="1" applyFont="1" applyFill="1" applyBorder="1" applyAlignment="1" applyProtection="1">
      <alignment horizontal="center" vertical="center"/>
      <protection/>
    </xf>
    <xf numFmtId="0" fontId="69" fillId="0" borderId="0" xfId="0" applyFont="1" applyBorder="1" applyAlignment="1">
      <alignment vertical="center" wrapText="1"/>
    </xf>
    <xf numFmtId="0" fontId="62" fillId="34" borderId="0" xfId="0" applyNumberFormat="1" applyFont="1" applyFill="1" applyBorder="1" applyAlignment="1" applyProtection="1">
      <alignment horizontal="left" vertical="center" wrapText="1"/>
      <protection/>
    </xf>
    <xf numFmtId="0" fontId="62" fillId="34" borderId="0" xfId="0" applyNumberFormat="1" applyFont="1" applyFill="1" applyBorder="1" applyAlignment="1" applyProtection="1">
      <alignment horizontal="left" vertical="center"/>
      <protection/>
    </xf>
    <xf numFmtId="0" fontId="62" fillId="33" borderId="0" xfId="0" applyNumberFormat="1" applyFont="1" applyFill="1" applyBorder="1" applyAlignment="1" applyProtection="1">
      <alignment horizontal="left" vertical="center" wrapText="1"/>
      <protection/>
    </xf>
    <xf numFmtId="0" fontId="62" fillId="33" borderId="0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/>
      <protection/>
    </xf>
    <xf numFmtId="0" fontId="61" fillId="0" borderId="14" xfId="0" applyNumberFormat="1" applyFont="1" applyFill="1" applyBorder="1" applyAlignment="1" applyProtection="1">
      <alignment horizontal="left" vertical="center"/>
      <protection/>
    </xf>
    <xf numFmtId="0" fontId="63" fillId="0" borderId="0" xfId="0" applyNumberFormat="1" applyFont="1" applyFill="1" applyBorder="1" applyAlignment="1" applyProtection="1">
      <alignment horizontal="left" vertical="center" wrapText="1"/>
      <protection/>
    </xf>
    <xf numFmtId="0" fontId="63" fillId="0" borderId="16" xfId="0" applyNumberFormat="1" applyFont="1" applyFill="1" applyBorder="1" applyAlignment="1" applyProtection="1">
      <alignment horizontal="left" vertical="center" wrapText="1"/>
      <protection/>
    </xf>
    <xf numFmtId="0" fontId="63" fillId="0" borderId="16" xfId="0" applyNumberFormat="1" applyFont="1" applyFill="1" applyBorder="1" applyAlignment="1" applyProtection="1">
      <alignment horizontal="left" vertical="center"/>
      <protection/>
    </xf>
    <xf numFmtId="0" fontId="71" fillId="0" borderId="0" xfId="0" applyNumberFormat="1" applyFont="1" applyFill="1" applyBorder="1" applyAlignment="1" applyProtection="1">
      <alignment horizontal="left" vertical="center" wrapText="1"/>
      <protection/>
    </xf>
    <xf numFmtId="0" fontId="71" fillId="0" borderId="0" xfId="0" applyNumberFormat="1" applyFont="1" applyFill="1" applyBorder="1" applyAlignment="1" applyProtection="1">
      <alignment horizontal="left" vertical="center"/>
      <protection/>
    </xf>
    <xf numFmtId="0" fontId="62" fillId="0" borderId="25" xfId="0" applyNumberFormat="1" applyFont="1" applyFill="1" applyBorder="1" applyAlignment="1" applyProtection="1">
      <alignment horizontal="left" vertical="center" indent="1"/>
      <protection/>
    </xf>
    <xf numFmtId="0" fontId="62" fillId="0" borderId="26" xfId="0" applyNumberFormat="1" applyFont="1" applyFill="1" applyBorder="1" applyAlignment="1" applyProtection="1">
      <alignment horizontal="left" vertical="center" indent="1"/>
      <protection/>
    </xf>
    <xf numFmtId="0" fontId="62" fillId="0" borderId="27" xfId="0" applyNumberFormat="1" applyFont="1" applyFill="1" applyBorder="1" applyAlignment="1" applyProtection="1">
      <alignment horizontal="left" vertical="center" indent="1"/>
      <protection/>
    </xf>
    <xf numFmtId="0" fontId="62" fillId="0" borderId="28" xfId="0" applyNumberFormat="1" applyFont="1" applyFill="1" applyBorder="1" applyAlignment="1" applyProtection="1">
      <alignment horizontal="left" vertical="center" indent="1"/>
      <protection/>
    </xf>
    <xf numFmtId="0" fontId="62" fillId="0" borderId="29" xfId="0" applyNumberFormat="1" applyFont="1" applyFill="1" applyBorder="1" applyAlignment="1" applyProtection="1">
      <alignment horizontal="left" vertical="center"/>
      <protection/>
    </xf>
    <xf numFmtId="0" fontId="62" fillId="0" borderId="30" xfId="0" applyNumberFormat="1" applyFont="1" applyFill="1" applyBorder="1" applyAlignment="1" applyProtection="1">
      <alignment horizontal="left" vertical="center"/>
      <protection/>
    </xf>
    <xf numFmtId="0" fontId="62" fillId="0" borderId="20" xfId="0" applyNumberFormat="1" applyFont="1" applyFill="1" applyBorder="1" applyAlignment="1" applyProtection="1">
      <alignment horizontal="left" vertical="center" indent="1"/>
      <protection/>
    </xf>
    <xf numFmtId="0" fontId="62" fillId="0" borderId="22" xfId="0" applyNumberFormat="1" applyFont="1" applyFill="1" applyBorder="1" applyAlignment="1" applyProtection="1">
      <alignment horizontal="left" vertical="center" indent="1"/>
      <protection/>
    </xf>
    <xf numFmtId="0" fontId="62" fillId="0" borderId="20" xfId="0" applyNumberFormat="1" applyFont="1" applyFill="1" applyBorder="1" applyAlignment="1" applyProtection="1">
      <alignment horizontal="center" vertical="center"/>
      <protection/>
    </xf>
    <xf numFmtId="0" fontId="62" fillId="0" borderId="22" xfId="0" applyNumberFormat="1" applyFont="1" applyFill="1" applyBorder="1" applyAlignment="1" applyProtection="1">
      <alignment horizontal="center" vertical="center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center" vertical="center"/>
      <protection/>
    </xf>
    <xf numFmtId="0" fontId="63" fillId="0" borderId="31" xfId="0" applyNumberFormat="1" applyFont="1" applyFill="1" applyBorder="1" applyAlignment="1" applyProtection="1">
      <alignment horizontal="left" vertical="center" wrapText="1"/>
      <protection/>
    </xf>
    <xf numFmtId="0" fontId="63" fillId="0" borderId="32" xfId="0" applyNumberFormat="1" applyFont="1" applyFill="1" applyBorder="1" applyAlignment="1" applyProtection="1">
      <alignment horizontal="left" vertical="center"/>
      <protection/>
    </xf>
    <xf numFmtId="0" fontId="63" fillId="0" borderId="10" xfId="0" applyNumberFormat="1" applyFont="1" applyFill="1" applyBorder="1" applyAlignment="1" applyProtection="1">
      <alignment horizontal="left" vertical="center"/>
      <protection/>
    </xf>
    <xf numFmtId="0" fontId="63" fillId="0" borderId="10" xfId="0" applyNumberFormat="1" applyFont="1" applyFill="1" applyBorder="1" applyAlignment="1" applyProtection="1">
      <alignment horizontal="left" vertical="center" wrapText="1"/>
      <protection/>
    </xf>
    <xf numFmtId="0" fontId="63" fillId="0" borderId="33" xfId="0" applyNumberFormat="1" applyFont="1" applyFill="1" applyBorder="1" applyAlignment="1" applyProtection="1">
      <alignment horizontal="left" vertical="center"/>
      <protection/>
    </xf>
    <xf numFmtId="0" fontId="63" fillId="0" borderId="32" xfId="0" applyNumberFormat="1" applyFont="1" applyFill="1" applyBorder="1" applyAlignment="1" applyProtection="1">
      <alignment horizontal="left" vertical="center" wrapText="1"/>
      <protection/>
    </xf>
    <xf numFmtId="0" fontId="63" fillId="0" borderId="34" xfId="0" applyNumberFormat="1" applyFont="1" applyFill="1" applyBorder="1" applyAlignment="1" applyProtection="1">
      <alignment horizontal="left" vertical="center"/>
      <protection/>
    </xf>
    <xf numFmtId="0" fontId="63" fillId="0" borderId="14" xfId="0" applyNumberFormat="1" applyFont="1" applyFill="1" applyBorder="1" applyAlignment="1" applyProtection="1">
      <alignment horizontal="left" vertical="center"/>
      <protection/>
    </xf>
    <xf numFmtId="1" fontId="63" fillId="0" borderId="14" xfId="0" applyNumberFormat="1" applyFont="1" applyFill="1" applyBorder="1" applyAlignment="1" applyProtection="1">
      <alignment horizontal="left" vertical="center"/>
      <protection/>
    </xf>
    <xf numFmtId="0" fontId="63" fillId="0" borderId="14" xfId="0" applyNumberFormat="1" applyFont="1" applyFill="1" applyBorder="1" applyAlignment="1" applyProtection="1">
      <alignment horizontal="left" vertical="center" wrapText="1"/>
      <protection/>
    </xf>
    <xf numFmtId="0" fontId="63" fillId="0" borderId="13" xfId="0" applyNumberFormat="1" applyFont="1" applyFill="1" applyBorder="1" applyAlignment="1" applyProtection="1">
      <alignment horizontal="left" vertical="center"/>
      <protection/>
    </xf>
    <xf numFmtId="0" fontId="77" fillId="0" borderId="0" xfId="0" applyNumberFormat="1" applyFont="1" applyFill="1" applyBorder="1" applyAlignment="1" applyProtection="1">
      <alignment horizontal="left" vertical="center"/>
      <protection/>
    </xf>
    <xf numFmtId="0" fontId="62" fillId="0" borderId="32" xfId="0" applyNumberFormat="1" applyFont="1" applyFill="1" applyBorder="1" applyAlignment="1" applyProtection="1">
      <alignment horizontal="left" vertical="center" wrapText="1"/>
      <protection/>
    </xf>
    <xf numFmtId="0" fontId="62" fillId="0" borderId="32" xfId="0" applyNumberFormat="1" applyFont="1" applyFill="1" applyBorder="1" applyAlignment="1" applyProtection="1">
      <alignment horizontal="left" vertical="center"/>
      <protection/>
    </xf>
    <xf numFmtId="0" fontId="62" fillId="0" borderId="0" xfId="0" applyNumberFormat="1" applyFont="1" applyFill="1" applyBorder="1" applyAlignment="1" applyProtection="1">
      <alignment horizontal="left" vertical="center"/>
      <protection/>
    </xf>
    <xf numFmtId="0" fontId="62" fillId="0" borderId="35" xfId="0" applyNumberFormat="1" applyFont="1" applyFill="1" applyBorder="1" applyAlignment="1" applyProtection="1">
      <alignment horizontal="left" vertical="center"/>
      <protection/>
    </xf>
    <xf numFmtId="0" fontId="62" fillId="0" borderId="36" xfId="0" applyNumberFormat="1" applyFont="1" applyFill="1" applyBorder="1" applyAlignment="1" applyProtection="1">
      <alignment horizontal="left" vertical="center"/>
      <protection/>
    </xf>
    <xf numFmtId="0" fontId="62" fillId="0" borderId="12" xfId="0" applyNumberFormat="1" applyFont="1" applyFill="1" applyBorder="1" applyAlignment="1" applyProtection="1">
      <alignment horizontal="left" vertical="center"/>
      <protection/>
    </xf>
    <xf numFmtId="0" fontId="63" fillId="0" borderId="37" xfId="0" applyNumberFormat="1" applyFont="1" applyFill="1" applyBorder="1" applyAlignment="1" applyProtection="1">
      <alignment horizontal="left" vertical="center"/>
      <protection/>
    </xf>
    <xf numFmtId="0" fontId="62" fillId="0" borderId="38" xfId="0" applyNumberFormat="1" applyFont="1" applyFill="1" applyBorder="1" applyAlignment="1" applyProtection="1">
      <alignment horizontal="left" vertical="center"/>
      <protection/>
    </xf>
    <xf numFmtId="0" fontId="62" fillId="0" borderId="39" xfId="0" applyNumberFormat="1" applyFont="1" applyFill="1" applyBorder="1" applyAlignment="1" applyProtection="1">
      <alignment horizontal="left" vertical="center"/>
      <protection/>
    </xf>
    <xf numFmtId="0" fontId="62" fillId="0" borderId="11" xfId="0" applyNumberFormat="1" applyFont="1" applyFill="1" applyBorder="1" applyAlignment="1" applyProtection="1">
      <alignment horizontal="left" vertical="center"/>
      <protection/>
    </xf>
    <xf numFmtId="0" fontId="77" fillId="0" borderId="38" xfId="0" applyNumberFormat="1" applyFont="1" applyFill="1" applyBorder="1" applyAlignment="1" applyProtection="1">
      <alignment horizontal="left" vertical="center"/>
      <protection/>
    </xf>
    <xf numFmtId="0" fontId="77" fillId="0" borderId="39" xfId="0" applyNumberFormat="1" applyFont="1" applyFill="1" applyBorder="1" applyAlignment="1" applyProtection="1">
      <alignment horizontal="left" vertical="center"/>
      <protection/>
    </xf>
    <xf numFmtId="0" fontId="77" fillId="0" borderId="11" xfId="0" applyNumberFormat="1" applyFont="1" applyFill="1" applyBorder="1" applyAlignment="1" applyProtection="1">
      <alignment horizontal="left" vertical="center"/>
      <protection/>
    </xf>
    <xf numFmtId="4" fontId="77" fillId="0" borderId="39" xfId="0" applyNumberFormat="1" applyFont="1" applyFill="1" applyBorder="1" applyAlignment="1" applyProtection="1">
      <alignment horizontal="right" vertical="center"/>
      <protection/>
    </xf>
    <xf numFmtId="0" fontId="77" fillId="0" borderId="39" xfId="0" applyNumberFormat="1" applyFont="1" applyFill="1" applyBorder="1" applyAlignment="1" applyProtection="1">
      <alignment horizontal="right" vertical="center"/>
      <protection/>
    </xf>
    <xf numFmtId="0" fontId="77" fillId="0" borderId="11" xfId="0" applyNumberFormat="1" applyFont="1" applyFill="1" applyBorder="1" applyAlignment="1" applyProtection="1">
      <alignment horizontal="right" vertical="center"/>
      <protection/>
    </xf>
    <xf numFmtId="4" fontId="63" fillId="2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" fontId="63" fillId="2" borderId="16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NumberFormat="1" applyFont="1" applyFill="1" applyBorder="1" applyAlignment="1" applyProtection="1">
      <alignment vertical="center"/>
      <protection/>
    </xf>
    <xf numFmtId="0" fontId="66" fillId="0" borderId="14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11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342900</xdr:colOff>
      <xdr:row>2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666750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79"/>
  <sheetViews>
    <sheetView tabSelected="1" showOutlineSymbols="0" view="pageBreakPreview" zoomScaleSheetLayoutView="100" zoomScalePageLayoutView="0" workbookViewId="0" topLeftCell="A1">
      <pane ySplit="12" topLeftCell="A151" activePane="bottomLeft" state="frozen"/>
      <selection pane="topLeft" activeCell="A1" sqref="A1"/>
      <selection pane="bottomLeft" activeCell="G171" sqref="G171"/>
    </sheetView>
  </sheetViews>
  <sheetFormatPr defaultColWidth="17" defaultRowHeight="15" customHeight="1"/>
  <cols>
    <col min="1" max="1" width="5.59765625" style="0" customWidth="1"/>
    <col min="2" max="2" width="25" style="0" customWidth="1"/>
    <col min="3" max="3" width="60" style="0" customWidth="1"/>
    <col min="4" max="4" width="50" style="0" customWidth="1"/>
    <col min="5" max="5" width="16" style="0" customWidth="1"/>
    <col min="6" max="6" width="6.19921875" style="0" customWidth="1"/>
    <col min="7" max="7" width="16.796875" style="0" customWidth="1"/>
    <col min="8" max="8" width="22" style="41" customWidth="1"/>
    <col min="9" max="9" width="19" style="47" customWidth="1"/>
    <col min="10" max="22" width="17" style="0" customWidth="1"/>
    <col min="23" max="73" width="17" style="0" hidden="1" customWidth="1"/>
  </cols>
  <sheetData>
    <row r="1" spans="1:45" ht="21.75" customHeight="1">
      <c r="A1" s="100" t="s">
        <v>293</v>
      </c>
      <c r="B1" s="100"/>
      <c r="C1" s="100"/>
      <c r="D1" s="100"/>
      <c r="E1" s="100"/>
      <c r="F1" s="100"/>
      <c r="G1" s="100"/>
      <c r="H1" s="100"/>
      <c r="I1" s="100"/>
      <c r="AQ1" s="16">
        <f>SUM(AH1:AH4)</f>
        <v>0</v>
      </c>
      <c r="AR1" s="16">
        <f>SUM(AI1:AI4)</f>
        <v>0</v>
      </c>
      <c r="AS1" s="16">
        <f>SUM(AJ1:AJ4)</f>
        <v>0</v>
      </c>
    </row>
    <row r="2" spans="1:45" ht="20.25" customHeight="1">
      <c r="A2" s="98" t="s">
        <v>270</v>
      </c>
      <c r="B2" s="98"/>
      <c r="C2" s="98"/>
      <c r="D2" s="98"/>
      <c r="E2" s="98"/>
      <c r="F2" s="98"/>
      <c r="G2" s="98"/>
      <c r="H2" s="98"/>
      <c r="I2" s="98"/>
      <c r="AQ2" s="26"/>
      <c r="AR2" s="26"/>
      <c r="AS2" s="26"/>
    </row>
    <row r="3" spans="1:45" ht="39.75" customHeight="1">
      <c r="A3" s="99" t="s">
        <v>269</v>
      </c>
      <c r="B3" s="99"/>
      <c r="C3" s="99"/>
      <c r="D3" s="99"/>
      <c r="E3" s="99"/>
      <c r="F3" s="99"/>
      <c r="G3" s="99"/>
      <c r="H3" s="99"/>
      <c r="I3" s="99"/>
      <c r="AQ3" s="23"/>
      <c r="AR3" s="23"/>
      <c r="AS3" s="23"/>
    </row>
    <row r="4" spans="1:13" ht="16.5" customHeight="1">
      <c r="A4" s="25"/>
      <c r="B4" s="10" t="s">
        <v>200</v>
      </c>
      <c r="C4" s="59" t="s">
        <v>281</v>
      </c>
      <c r="D4" s="24"/>
      <c r="E4" s="10" t="s">
        <v>161</v>
      </c>
      <c r="F4" s="34" t="s">
        <v>280</v>
      </c>
      <c r="H4" s="37"/>
      <c r="I4" s="42"/>
      <c r="L4" s="27"/>
      <c r="M4" s="27"/>
    </row>
    <row r="5" spans="1:13" ht="16.5" customHeight="1">
      <c r="A5" s="25"/>
      <c r="B5" s="10"/>
      <c r="C5" s="60" t="s">
        <v>276</v>
      </c>
      <c r="D5" s="25"/>
      <c r="F5" s="34" t="s">
        <v>279</v>
      </c>
      <c r="H5" s="37"/>
      <c r="I5" s="42"/>
      <c r="K5" s="27"/>
      <c r="L5" s="27"/>
      <c r="M5" s="32"/>
    </row>
    <row r="6" spans="1:13" ht="16.5" customHeight="1">
      <c r="A6" s="25"/>
      <c r="B6" s="58" t="s">
        <v>277</v>
      </c>
      <c r="C6" s="59" t="s">
        <v>278</v>
      </c>
      <c r="D6" s="25"/>
      <c r="E6" s="25"/>
      <c r="F6" s="34" t="s">
        <v>286</v>
      </c>
      <c r="H6" s="37"/>
      <c r="I6" s="42"/>
      <c r="K6" s="27"/>
      <c r="L6" s="27"/>
      <c r="M6" s="33"/>
    </row>
    <row r="7" spans="1:13" ht="16.5" customHeight="1">
      <c r="A7" s="27"/>
      <c r="B7" s="57"/>
      <c r="C7" s="61"/>
      <c r="F7" s="34" t="s">
        <v>287</v>
      </c>
      <c r="H7" s="37"/>
      <c r="I7" s="42"/>
      <c r="K7" s="27"/>
      <c r="L7" s="27"/>
      <c r="M7" s="33"/>
    </row>
    <row r="8" spans="1:13" ht="16.5" customHeight="1">
      <c r="A8" s="27"/>
      <c r="B8" s="10" t="s">
        <v>206</v>
      </c>
      <c r="C8" s="62" t="s">
        <v>271</v>
      </c>
      <c r="D8" s="35"/>
      <c r="E8" s="25"/>
      <c r="F8" s="25"/>
      <c r="G8" s="25"/>
      <c r="H8" s="37"/>
      <c r="I8" s="42"/>
      <c r="L8" s="27"/>
      <c r="M8" s="27"/>
    </row>
    <row r="9" spans="1:13" ht="16.5" customHeight="1" thickBot="1">
      <c r="A9" s="25"/>
      <c r="B9" s="25"/>
      <c r="C9" s="25"/>
      <c r="D9" s="25"/>
      <c r="E9" s="25"/>
      <c r="F9" s="25"/>
      <c r="G9" s="25"/>
      <c r="H9" s="37"/>
      <c r="I9" s="42"/>
      <c r="K9" s="33"/>
      <c r="L9" s="27"/>
      <c r="M9" s="27"/>
    </row>
    <row r="10" spans="1:73" ht="15" customHeight="1">
      <c r="A10" s="120" t="s">
        <v>285</v>
      </c>
      <c r="B10" s="122" t="s">
        <v>291</v>
      </c>
      <c r="C10" s="116" t="s">
        <v>292</v>
      </c>
      <c r="D10" s="117"/>
      <c r="E10" s="124" t="s">
        <v>275</v>
      </c>
      <c r="F10" s="124" t="s">
        <v>72</v>
      </c>
      <c r="G10" s="73" t="s">
        <v>282</v>
      </c>
      <c r="H10" s="74" t="s">
        <v>284</v>
      </c>
      <c r="I10" s="77" t="s">
        <v>290</v>
      </c>
      <c r="BI10" s="9" t="s">
        <v>87</v>
      </c>
      <c r="BJ10" s="22" t="s">
        <v>117</v>
      </c>
      <c r="BU10" s="22" t="s">
        <v>263</v>
      </c>
    </row>
    <row r="11" spans="1:60" ht="15" customHeight="1" thickBot="1">
      <c r="A11" s="121"/>
      <c r="B11" s="123"/>
      <c r="C11" s="118"/>
      <c r="D11" s="119"/>
      <c r="E11" s="125"/>
      <c r="F11" s="125"/>
      <c r="G11" s="75" t="s">
        <v>283</v>
      </c>
      <c r="H11" s="76" t="s">
        <v>283</v>
      </c>
      <c r="I11" s="78" t="s">
        <v>54</v>
      </c>
      <c r="X11" s="9" t="s">
        <v>181</v>
      </c>
      <c r="Y11" s="9" t="s">
        <v>142</v>
      </c>
      <c r="Z11" s="9" t="s">
        <v>251</v>
      </c>
      <c r="AA11" s="9" t="s">
        <v>59</v>
      </c>
      <c r="AB11" s="9" t="s">
        <v>202</v>
      </c>
      <c r="AC11" s="9" t="s">
        <v>80</v>
      </c>
      <c r="AD11" s="9" t="s">
        <v>214</v>
      </c>
      <c r="AE11" s="9" t="s">
        <v>95</v>
      </c>
      <c r="AF11" s="9" t="s">
        <v>55</v>
      </c>
      <c r="BF11" s="9" t="s">
        <v>182</v>
      </c>
      <c r="BG11" s="9" t="s">
        <v>243</v>
      </c>
      <c r="BH11" s="9" t="s">
        <v>261</v>
      </c>
    </row>
    <row r="12" spans="1:60" ht="12" customHeight="1">
      <c r="A12" s="25"/>
      <c r="B12" s="25"/>
      <c r="C12" s="24"/>
      <c r="D12" s="24"/>
      <c r="E12" s="25"/>
      <c r="F12" s="25"/>
      <c r="G12" s="36"/>
      <c r="H12" s="71"/>
      <c r="I12" s="72"/>
      <c r="X12" s="9"/>
      <c r="Y12" s="9"/>
      <c r="Z12" s="9"/>
      <c r="AA12" s="9"/>
      <c r="AB12" s="9"/>
      <c r="AC12" s="9"/>
      <c r="AD12" s="9"/>
      <c r="AE12" s="9"/>
      <c r="AF12" s="9"/>
      <c r="BF12" s="9"/>
      <c r="BG12" s="9"/>
      <c r="BH12" s="9"/>
    </row>
    <row r="13" spans="1:9" ht="19.5" customHeight="1">
      <c r="A13" s="30" t="s">
        <v>272</v>
      </c>
      <c r="B13" s="28" t="s">
        <v>162</v>
      </c>
      <c r="C13" s="102" t="s">
        <v>300</v>
      </c>
      <c r="D13" s="103"/>
      <c r="E13" s="29" t="s">
        <v>217</v>
      </c>
      <c r="F13" s="29" t="s">
        <v>217</v>
      </c>
      <c r="G13" s="29" t="s">
        <v>217</v>
      </c>
      <c r="H13" s="38">
        <f>H14+H28+H37</f>
        <v>0</v>
      </c>
      <c r="I13" s="43" t="s">
        <v>162</v>
      </c>
    </row>
    <row r="14" spans="1:45" ht="15" customHeight="1">
      <c r="A14" s="20" t="s">
        <v>162</v>
      </c>
      <c r="B14" s="21" t="s">
        <v>198</v>
      </c>
      <c r="C14" s="104" t="s">
        <v>125</v>
      </c>
      <c r="D14" s="105"/>
      <c r="E14" s="8" t="s">
        <v>217</v>
      </c>
      <c r="F14" s="8" t="s">
        <v>217</v>
      </c>
      <c r="G14" s="8" t="s">
        <v>217</v>
      </c>
      <c r="H14" s="39">
        <f>SUM(H15:H25)</f>
        <v>0</v>
      </c>
      <c r="I14" s="44" t="s">
        <v>162</v>
      </c>
      <c r="AG14" s="9" t="s">
        <v>175</v>
      </c>
      <c r="AQ14" s="16">
        <f>SUM(AH15:AH25)</f>
        <v>0</v>
      </c>
      <c r="AR14" s="16">
        <f>SUM(AI15:AI25)</f>
        <v>0</v>
      </c>
      <c r="AS14" s="16" t="e">
        <f>SUM(AJ15:AJ25)</f>
        <v>#REF!</v>
      </c>
    </row>
    <row r="15" spans="1:73" ht="13.5" customHeight="1">
      <c r="A15" s="6" t="s">
        <v>238</v>
      </c>
      <c r="B15" s="14" t="s">
        <v>176</v>
      </c>
      <c r="C15" s="106" t="s">
        <v>224</v>
      </c>
      <c r="D15" s="107"/>
      <c r="E15" s="19">
        <v>3</v>
      </c>
      <c r="F15" s="25" t="s">
        <v>52</v>
      </c>
      <c r="G15" s="156">
        <v>0</v>
      </c>
      <c r="H15" s="40">
        <f>ROUND(E15*G15,2)</f>
        <v>0</v>
      </c>
      <c r="I15" s="45" t="s">
        <v>101</v>
      </c>
      <c r="X15" s="19">
        <f>IF(AO15="5",BH15,0)</f>
        <v>0</v>
      </c>
      <c r="Z15" s="19">
        <f>IF(AO15="1",BF15,0)</f>
        <v>0</v>
      </c>
      <c r="AA15" s="19">
        <f>IF(AO15="1",BG15,0)</f>
        <v>0</v>
      </c>
      <c r="AB15" s="19">
        <f>IF(AO15="7",BF15,0)</f>
        <v>0</v>
      </c>
      <c r="AC15" s="19">
        <f>IF(AO15="7",BG15,0)</f>
        <v>0</v>
      </c>
      <c r="AD15" s="19">
        <f>IF(AO15="2",BF15,0)</f>
        <v>0</v>
      </c>
      <c r="AE15" s="19">
        <f>IF(AO15="2",BG15,0)</f>
        <v>0</v>
      </c>
      <c r="AF15" s="19">
        <f>IF(AO15="0",BH15,0)</f>
        <v>0</v>
      </c>
      <c r="AG15" s="9" t="s">
        <v>175</v>
      </c>
      <c r="AH15" s="19">
        <f>IF(AL15=0,#REF!,0)</f>
        <v>0</v>
      </c>
      <c r="AI15" s="19">
        <f>IF(AL15=15,#REF!,0)</f>
        <v>0</v>
      </c>
      <c r="AJ15" s="19" t="e">
        <f>IF(AL15=21,#REF!,0)</f>
        <v>#REF!</v>
      </c>
      <c r="AL15" s="19">
        <v>21</v>
      </c>
      <c r="AM15" s="19">
        <f>G15*0</f>
        <v>0</v>
      </c>
      <c r="AN15" s="19">
        <f>G15*(1-0)</f>
        <v>0</v>
      </c>
      <c r="AO15" s="10" t="s">
        <v>238</v>
      </c>
      <c r="AT15" s="19">
        <f>AU15+AV15</f>
        <v>0</v>
      </c>
      <c r="AU15" s="19">
        <f>E15*AM15</f>
        <v>0</v>
      </c>
      <c r="AV15" s="19">
        <f>E15*AN15</f>
        <v>0</v>
      </c>
      <c r="AW15" s="10" t="s">
        <v>24</v>
      </c>
      <c r="AX15" s="10" t="s">
        <v>213</v>
      </c>
      <c r="AY15" s="9" t="s">
        <v>260</v>
      </c>
      <c r="BA15" s="19">
        <f>AU15+AV15</f>
        <v>0</v>
      </c>
      <c r="BB15" s="19">
        <f>G15/(100-BC15)*100</f>
        <v>0</v>
      </c>
      <c r="BC15" s="19">
        <v>0</v>
      </c>
      <c r="BD15" s="19">
        <f>14</f>
        <v>14</v>
      </c>
      <c r="BF15" s="19">
        <f>E15*AM15</f>
        <v>0</v>
      </c>
      <c r="BG15" s="19">
        <f>E15*AN15</f>
        <v>0</v>
      </c>
      <c r="BH15" s="19">
        <f>E15*G15</f>
        <v>0</v>
      </c>
      <c r="BI15" s="19"/>
      <c r="BJ15" s="19">
        <v>11</v>
      </c>
      <c r="BU15" s="19">
        <v>21</v>
      </c>
    </row>
    <row r="16" spans="1:9" ht="15" customHeight="1">
      <c r="A16" s="3"/>
      <c r="C16" s="4" t="s">
        <v>205</v>
      </c>
      <c r="D16" s="4" t="s">
        <v>253</v>
      </c>
      <c r="E16" s="2">
        <v>3.0000000000000004</v>
      </c>
      <c r="G16" s="157"/>
      <c r="I16" s="46"/>
    </row>
    <row r="17" spans="1:73" ht="13.5" customHeight="1">
      <c r="A17" s="6" t="s">
        <v>160</v>
      </c>
      <c r="B17" s="14" t="s">
        <v>144</v>
      </c>
      <c r="C17" s="106" t="s">
        <v>60</v>
      </c>
      <c r="D17" s="107"/>
      <c r="E17" s="19">
        <v>7</v>
      </c>
      <c r="F17" s="25" t="s">
        <v>52</v>
      </c>
      <c r="G17" s="156">
        <v>0</v>
      </c>
      <c r="H17" s="40">
        <f>ROUND(E17*G17,2)</f>
        <v>0</v>
      </c>
      <c r="I17" s="45" t="s">
        <v>101</v>
      </c>
      <c r="X17" s="19">
        <f>IF(AO17="5",BH17,0)</f>
        <v>0</v>
      </c>
      <c r="Z17" s="19">
        <f>IF(AO17="1",BF17,0)</f>
        <v>0</v>
      </c>
      <c r="AA17" s="19">
        <f>IF(AO17="1",BG17,0)</f>
        <v>0</v>
      </c>
      <c r="AB17" s="19">
        <f>IF(AO17="7",BF17,0)</f>
        <v>0</v>
      </c>
      <c r="AC17" s="19">
        <f>IF(AO17="7",BG17,0)</f>
        <v>0</v>
      </c>
      <c r="AD17" s="19">
        <f>IF(AO17="2",BF17,0)</f>
        <v>0</v>
      </c>
      <c r="AE17" s="19">
        <f>IF(AO17="2",BG17,0)</f>
        <v>0</v>
      </c>
      <c r="AF17" s="19">
        <f>IF(AO17="0",BH17,0)</f>
        <v>0</v>
      </c>
      <c r="AG17" s="9" t="s">
        <v>175</v>
      </c>
      <c r="AH17" s="19">
        <f>IF(AL17=0,H17,0)</f>
        <v>0</v>
      </c>
      <c r="AI17" s="19">
        <f>IF(AL17=15,H17,0)</f>
        <v>0</v>
      </c>
      <c r="AJ17" s="19">
        <f>IF(AL17=21,H17,0)</f>
        <v>0</v>
      </c>
      <c r="AL17" s="19">
        <v>21</v>
      </c>
      <c r="AM17" s="19">
        <f>G17*0</f>
        <v>0</v>
      </c>
      <c r="AN17" s="19">
        <f>G17*(1-0)</f>
        <v>0</v>
      </c>
      <c r="AO17" s="10" t="s">
        <v>238</v>
      </c>
      <c r="AT17" s="19">
        <f>AU17+AV17</f>
        <v>0</v>
      </c>
      <c r="AU17" s="19">
        <f>E17*AM17</f>
        <v>0</v>
      </c>
      <c r="AV17" s="19">
        <f>E17*AN17</f>
        <v>0</v>
      </c>
      <c r="AW17" s="10" t="s">
        <v>24</v>
      </c>
      <c r="AX17" s="10" t="s">
        <v>213</v>
      </c>
      <c r="AY17" s="9" t="s">
        <v>260</v>
      </c>
      <c r="BA17" s="19">
        <f>AU17+AV17</f>
        <v>0</v>
      </c>
      <c r="BB17" s="19">
        <f>G17/(100-BC17)*100</f>
        <v>0</v>
      </c>
      <c r="BC17" s="19">
        <v>0</v>
      </c>
      <c r="BD17" s="19">
        <f>16</f>
        <v>16</v>
      </c>
      <c r="BF17" s="19">
        <f>E17*AM17</f>
        <v>0</v>
      </c>
      <c r="BG17" s="19">
        <f>E17*AN17</f>
        <v>0</v>
      </c>
      <c r="BH17" s="19">
        <f>E17*G17</f>
        <v>0</v>
      </c>
      <c r="BI17" s="19"/>
      <c r="BJ17" s="19">
        <v>11</v>
      </c>
      <c r="BU17" s="19">
        <v>21</v>
      </c>
    </row>
    <row r="18" spans="1:9" ht="15" customHeight="1">
      <c r="A18" s="3"/>
      <c r="C18" s="4" t="s">
        <v>239</v>
      </c>
      <c r="D18" s="4" t="s">
        <v>212</v>
      </c>
      <c r="E18" s="2">
        <v>7.000000000000001</v>
      </c>
      <c r="G18" s="157"/>
      <c r="I18" s="46"/>
    </row>
    <row r="19" spans="1:73" ht="13.5" customHeight="1">
      <c r="A19" s="6" t="s">
        <v>205</v>
      </c>
      <c r="B19" s="14" t="s">
        <v>48</v>
      </c>
      <c r="C19" s="106" t="s">
        <v>226</v>
      </c>
      <c r="D19" s="107"/>
      <c r="E19" s="19">
        <v>6</v>
      </c>
      <c r="F19" s="25" t="s">
        <v>52</v>
      </c>
      <c r="G19" s="156">
        <v>0</v>
      </c>
      <c r="H19" s="40">
        <f>ROUND(E19*G19,2)</f>
        <v>0</v>
      </c>
      <c r="I19" s="45" t="s">
        <v>101</v>
      </c>
      <c r="X19" s="19">
        <f>IF(AO19="5",BH19,0)</f>
        <v>0</v>
      </c>
      <c r="Z19" s="19">
        <f>IF(AO19="1",BF19,0)</f>
        <v>0</v>
      </c>
      <c r="AA19" s="19">
        <f>IF(AO19="1",BG19,0)</f>
        <v>0</v>
      </c>
      <c r="AB19" s="19">
        <f>IF(AO19="7",BF19,0)</f>
        <v>0</v>
      </c>
      <c r="AC19" s="19">
        <f>IF(AO19="7",BG19,0)</f>
        <v>0</v>
      </c>
      <c r="AD19" s="19">
        <f>IF(AO19="2",BF19,0)</f>
        <v>0</v>
      </c>
      <c r="AE19" s="19">
        <f>IF(AO19="2",BG19,0)</f>
        <v>0</v>
      </c>
      <c r="AF19" s="19">
        <f>IF(AO19="0",BH19,0)</f>
        <v>0</v>
      </c>
      <c r="AG19" s="9" t="s">
        <v>175</v>
      </c>
      <c r="AH19" s="19">
        <f>IF(AL19=0,H19,0)</f>
        <v>0</v>
      </c>
      <c r="AI19" s="19">
        <f>IF(AL19=15,H19,0)</f>
        <v>0</v>
      </c>
      <c r="AJ19" s="19">
        <f>IF(AL19=21,H19,0)</f>
        <v>0</v>
      </c>
      <c r="AL19" s="19">
        <v>21</v>
      </c>
      <c r="AM19" s="19">
        <f>G19*0</f>
        <v>0</v>
      </c>
      <c r="AN19" s="19">
        <f>G19*(1-0)</f>
        <v>0</v>
      </c>
      <c r="AO19" s="10" t="s">
        <v>238</v>
      </c>
      <c r="AT19" s="19">
        <f>AU19+AV19</f>
        <v>0</v>
      </c>
      <c r="AU19" s="19">
        <f>E19*AM19</f>
        <v>0</v>
      </c>
      <c r="AV19" s="19">
        <f>E19*AN19</f>
        <v>0</v>
      </c>
      <c r="AW19" s="10" t="s">
        <v>24</v>
      </c>
      <c r="AX19" s="10" t="s">
        <v>213</v>
      </c>
      <c r="AY19" s="9" t="s">
        <v>260</v>
      </c>
      <c r="BA19" s="19">
        <f>AU19+AV19</f>
        <v>0</v>
      </c>
      <c r="BB19" s="19">
        <f>G19/(100-BC19)*100</f>
        <v>0</v>
      </c>
      <c r="BC19" s="19">
        <v>0</v>
      </c>
      <c r="BD19" s="19">
        <f>18</f>
        <v>18</v>
      </c>
      <c r="BF19" s="19">
        <f>E19*AM19</f>
        <v>0</v>
      </c>
      <c r="BG19" s="19">
        <f>E19*AN19</f>
        <v>0</v>
      </c>
      <c r="BH19" s="19">
        <f>E19*G19</f>
        <v>0</v>
      </c>
      <c r="BI19" s="19"/>
      <c r="BJ19" s="19">
        <v>11</v>
      </c>
      <c r="BU19" s="19">
        <v>21</v>
      </c>
    </row>
    <row r="20" spans="1:9" ht="15" customHeight="1">
      <c r="A20" s="3"/>
      <c r="C20" s="4" t="s">
        <v>35</v>
      </c>
      <c r="D20" s="4" t="s">
        <v>301</v>
      </c>
      <c r="E20" s="2">
        <v>6.000000000000001</v>
      </c>
      <c r="G20" s="157"/>
      <c r="I20" s="46"/>
    </row>
    <row r="21" spans="1:73" ht="13.5" customHeight="1">
      <c r="A21" s="6" t="s">
        <v>25</v>
      </c>
      <c r="B21" s="14" t="s">
        <v>8</v>
      </c>
      <c r="C21" s="106" t="s">
        <v>4</v>
      </c>
      <c r="D21" s="107"/>
      <c r="E21" s="19">
        <v>5</v>
      </c>
      <c r="F21" s="25" t="s">
        <v>52</v>
      </c>
      <c r="G21" s="156">
        <v>0</v>
      </c>
      <c r="H21" s="40">
        <f>ROUND(E21*G21,2)</f>
        <v>0</v>
      </c>
      <c r="I21" s="45" t="s">
        <v>101</v>
      </c>
      <c r="X21" s="19">
        <f>IF(AO21="5",BH21,0)</f>
        <v>0</v>
      </c>
      <c r="Z21" s="19">
        <f>IF(AO21="1",BF21,0)</f>
        <v>0</v>
      </c>
      <c r="AA21" s="19">
        <f>IF(AO21="1",BG21,0)</f>
        <v>0</v>
      </c>
      <c r="AB21" s="19">
        <f>IF(AO21="7",BF21,0)</f>
        <v>0</v>
      </c>
      <c r="AC21" s="19">
        <f>IF(AO21="7",BG21,0)</f>
        <v>0</v>
      </c>
      <c r="AD21" s="19">
        <f>IF(AO21="2",BF21,0)</f>
        <v>0</v>
      </c>
      <c r="AE21" s="19">
        <f>IF(AO21="2",BG21,0)</f>
        <v>0</v>
      </c>
      <c r="AF21" s="19">
        <f>IF(AO21="0",BH21,0)</f>
        <v>0</v>
      </c>
      <c r="AG21" s="9" t="s">
        <v>175</v>
      </c>
      <c r="AH21" s="19">
        <f>IF(AL21=0,H21,0)</f>
        <v>0</v>
      </c>
      <c r="AI21" s="19">
        <f>IF(AL21=15,H21,0)</f>
        <v>0</v>
      </c>
      <c r="AJ21" s="19">
        <f>IF(AL21=21,H21,0)</f>
        <v>0</v>
      </c>
      <c r="AL21" s="19">
        <v>21</v>
      </c>
      <c r="AM21" s="19">
        <f>G21*0</f>
        <v>0</v>
      </c>
      <c r="AN21" s="19">
        <f>G21*(1-0)</f>
        <v>0</v>
      </c>
      <c r="AO21" s="10" t="s">
        <v>238</v>
      </c>
      <c r="AT21" s="19">
        <f>AU21+AV21</f>
        <v>0</v>
      </c>
      <c r="AU21" s="19">
        <f>E21*AM21</f>
        <v>0</v>
      </c>
      <c r="AV21" s="19">
        <f>E21*AN21</f>
        <v>0</v>
      </c>
      <c r="AW21" s="10" t="s">
        <v>24</v>
      </c>
      <c r="AX21" s="10" t="s">
        <v>213</v>
      </c>
      <c r="AY21" s="9" t="s">
        <v>260</v>
      </c>
      <c r="BA21" s="19">
        <f>AU21+AV21</f>
        <v>0</v>
      </c>
      <c r="BB21" s="19">
        <f>G21/(100-BC21)*100</f>
        <v>0</v>
      </c>
      <c r="BC21" s="19">
        <v>0</v>
      </c>
      <c r="BD21" s="19">
        <f>20</f>
        <v>20</v>
      </c>
      <c r="BF21" s="19">
        <f>E21*AM21</f>
        <v>0</v>
      </c>
      <c r="BG21" s="19">
        <f>E21*AN21</f>
        <v>0</v>
      </c>
      <c r="BH21" s="19">
        <f>E21*G21</f>
        <v>0</v>
      </c>
      <c r="BI21" s="19"/>
      <c r="BJ21" s="19">
        <v>11</v>
      </c>
      <c r="BU21" s="19">
        <v>21</v>
      </c>
    </row>
    <row r="22" spans="1:9" ht="15" customHeight="1">
      <c r="A22" s="3"/>
      <c r="C22" s="4" t="s">
        <v>119</v>
      </c>
      <c r="D22" s="4" t="s">
        <v>302</v>
      </c>
      <c r="E22" s="2">
        <v>5</v>
      </c>
      <c r="G22" s="157"/>
      <c r="I22" s="46"/>
    </row>
    <row r="23" spans="1:73" ht="13.5" customHeight="1">
      <c r="A23" s="6" t="s">
        <v>119</v>
      </c>
      <c r="B23" s="14" t="s">
        <v>193</v>
      </c>
      <c r="C23" s="106" t="s">
        <v>177</v>
      </c>
      <c r="D23" s="107"/>
      <c r="E23" s="19">
        <v>105</v>
      </c>
      <c r="F23" s="25" t="s">
        <v>230</v>
      </c>
      <c r="G23" s="156">
        <v>0</v>
      </c>
      <c r="H23" s="40">
        <f>ROUND(E23*G23,2)</f>
        <v>0</v>
      </c>
      <c r="I23" s="45" t="s">
        <v>101</v>
      </c>
      <c r="X23" s="19">
        <f>IF(AO23="5",BH23,0)</f>
        <v>0</v>
      </c>
      <c r="Z23" s="19">
        <f>IF(AO23="1",BF23,0)</f>
        <v>0</v>
      </c>
      <c r="AA23" s="19">
        <f>IF(AO23="1",BG23,0)</f>
        <v>0</v>
      </c>
      <c r="AB23" s="19">
        <f>IF(AO23="7",BF23,0)</f>
        <v>0</v>
      </c>
      <c r="AC23" s="19">
        <f>IF(AO23="7",BG23,0)</f>
        <v>0</v>
      </c>
      <c r="AD23" s="19">
        <f>IF(AO23="2",BF23,0)</f>
        <v>0</v>
      </c>
      <c r="AE23" s="19">
        <f>IF(AO23="2",BG23,0)</f>
        <v>0</v>
      </c>
      <c r="AF23" s="19">
        <f>IF(AO23="0",BH23,0)</f>
        <v>0</v>
      </c>
      <c r="AG23" s="9" t="s">
        <v>175</v>
      </c>
      <c r="AH23" s="19">
        <f>IF(AL23=0,H23,0)</f>
        <v>0</v>
      </c>
      <c r="AI23" s="19">
        <f>IF(AL23=15,H23,0)</f>
        <v>0</v>
      </c>
      <c r="AJ23" s="19">
        <f>IF(AL23=21,H23,0)</f>
        <v>0</v>
      </c>
      <c r="AL23" s="19">
        <v>21</v>
      </c>
      <c r="AM23" s="19">
        <f>G23*0</f>
        <v>0</v>
      </c>
      <c r="AN23" s="19">
        <f>G23*(1-0)</f>
        <v>0</v>
      </c>
      <c r="AO23" s="10" t="s">
        <v>238</v>
      </c>
      <c r="AT23" s="19">
        <f>AU23+AV23</f>
        <v>0</v>
      </c>
      <c r="AU23" s="19">
        <f>E23*AM23</f>
        <v>0</v>
      </c>
      <c r="AV23" s="19">
        <f>E23*AN23</f>
        <v>0</v>
      </c>
      <c r="AW23" s="10" t="s">
        <v>24</v>
      </c>
      <c r="AX23" s="10" t="s">
        <v>213</v>
      </c>
      <c r="AY23" s="9" t="s">
        <v>260</v>
      </c>
      <c r="BA23" s="19">
        <f>AU23+AV23</f>
        <v>0</v>
      </c>
      <c r="BB23" s="19">
        <f>G23/(100-BC23)*100</f>
        <v>0</v>
      </c>
      <c r="BC23" s="19">
        <v>0</v>
      </c>
      <c r="BD23" s="19">
        <f>22</f>
        <v>22</v>
      </c>
      <c r="BF23" s="19">
        <f>E23*AM23</f>
        <v>0</v>
      </c>
      <c r="BG23" s="19">
        <f>E23*AN23</f>
        <v>0</v>
      </c>
      <c r="BH23" s="19">
        <f>E23*G23</f>
        <v>0</v>
      </c>
      <c r="BI23" s="19"/>
      <c r="BJ23" s="19">
        <v>11</v>
      </c>
      <c r="BU23" s="19">
        <v>21</v>
      </c>
    </row>
    <row r="24" spans="1:9" ht="15" customHeight="1">
      <c r="A24" s="3"/>
      <c r="C24" s="4" t="s">
        <v>221</v>
      </c>
      <c r="D24" s="4" t="s">
        <v>162</v>
      </c>
      <c r="E24" s="2">
        <v>105.00000000000001</v>
      </c>
      <c r="G24" s="157"/>
      <c r="I24" s="46"/>
    </row>
    <row r="25" spans="1:73" ht="13.5" customHeight="1">
      <c r="A25" s="6" t="s">
        <v>35</v>
      </c>
      <c r="B25" s="14" t="s">
        <v>140</v>
      </c>
      <c r="C25" s="106" t="s">
        <v>34</v>
      </c>
      <c r="D25" s="107"/>
      <c r="E25" s="19">
        <v>149</v>
      </c>
      <c r="F25" s="25" t="s">
        <v>234</v>
      </c>
      <c r="G25" s="156">
        <v>0</v>
      </c>
      <c r="H25" s="40">
        <f>ROUND(E25*G25,2)</f>
        <v>0</v>
      </c>
      <c r="I25" s="45" t="s">
        <v>101</v>
      </c>
      <c r="X25" s="19">
        <f>IF(AO25="5",BH25,0)</f>
        <v>0</v>
      </c>
      <c r="Z25" s="19">
        <f>IF(AO25="1",BF25,0)</f>
        <v>0</v>
      </c>
      <c r="AA25" s="19">
        <f>IF(AO25="1",BG25,0)</f>
        <v>0</v>
      </c>
      <c r="AB25" s="19">
        <f>IF(AO25="7",BF25,0)</f>
        <v>0</v>
      </c>
      <c r="AC25" s="19">
        <f>IF(AO25="7",BG25,0)</f>
        <v>0</v>
      </c>
      <c r="AD25" s="19">
        <f>IF(AO25="2",BF25,0)</f>
        <v>0</v>
      </c>
      <c r="AE25" s="19">
        <f>IF(AO25="2",BG25,0)</f>
        <v>0</v>
      </c>
      <c r="AF25" s="19">
        <f>IF(AO25="0",BH25,0)</f>
        <v>0</v>
      </c>
      <c r="AG25" s="9" t="s">
        <v>175</v>
      </c>
      <c r="AH25" s="19">
        <f>IF(AL25=0,H25,0)</f>
        <v>0</v>
      </c>
      <c r="AI25" s="19">
        <f>IF(AL25=15,H25,0)</f>
        <v>0</v>
      </c>
      <c r="AJ25" s="19">
        <f>IF(AL25=21,H25,0)</f>
        <v>0</v>
      </c>
      <c r="AL25" s="19">
        <v>21</v>
      </c>
      <c r="AM25" s="19">
        <f>G25*0</f>
        <v>0</v>
      </c>
      <c r="AN25" s="19">
        <f>G25*(1-0)</f>
        <v>0</v>
      </c>
      <c r="AO25" s="10" t="s">
        <v>238</v>
      </c>
      <c r="AT25" s="19">
        <f>AU25+AV25</f>
        <v>0</v>
      </c>
      <c r="AU25" s="19">
        <f>E25*AM25</f>
        <v>0</v>
      </c>
      <c r="AV25" s="19">
        <f>E25*AN25</f>
        <v>0</v>
      </c>
      <c r="AW25" s="10" t="s">
        <v>24</v>
      </c>
      <c r="AX25" s="10" t="s">
        <v>213</v>
      </c>
      <c r="AY25" s="9" t="s">
        <v>260</v>
      </c>
      <c r="BA25" s="19">
        <f>AU25+AV25</f>
        <v>0</v>
      </c>
      <c r="BB25" s="19">
        <f>G25/(100-BC25)*100</f>
        <v>0</v>
      </c>
      <c r="BC25" s="19">
        <v>0</v>
      </c>
      <c r="BD25" s="19">
        <f>24</f>
        <v>24</v>
      </c>
      <c r="BF25" s="19">
        <f>E25*AM25</f>
        <v>0</v>
      </c>
      <c r="BG25" s="19">
        <f>E25*AN25</f>
        <v>0</v>
      </c>
      <c r="BH25" s="19">
        <f>E25*G25</f>
        <v>0</v>
      </c>
      <c r="BI25" s="19"/>
      <c r="BJ25" s="19">
        <v>11</v>
      </c>
      <c r="BU25" s="19">
        <v>21</v>
      </c>
    </row>
    <row r="26" spans="1:9" ht="15" customHeight="1">
      <c r="A26" s="3"/>
      <c r="C26" s="4" t="s">
        <v>12</v>
      </c>
      <c r="D26" s="4" t="s">
        <v>139</v>
      </c>
      <c r="E26" s="2">
        <v>114.00000000000001</v>
      </c>
      <c r="I26" s="46"/>
    </row>
    <row r="27" spans="1:9" ht="15" customHeight="1">
      <c r="A27" s="3"/>
      <c r="C27" s="4" t="s">
        <v>210</v>
      </c>
      <c r="D27" s="4" t="s">
        <v>85</v>
      </c>
      <c r="E27" s="2">
        <v>35</v>
      </c>
      <c r="I27" s="46"/>
    </row>
    <row r="28" spans="1:45" ht="15" customHeight="1">
      <c r="A28" s="20" t="s">
        <v>162</v>
      </c>
      <c r="B28" s="21" t="s">
        <v>18</v>
      </c>
      <c r="C28" s="104" t="s">
        <v>197</v>
      </c>
      <c r="D28" s="105"/>
      <c r="E28" s="8" t="s">
        <v>217</v>
      </c>
      <c r="F28" s="8" t="s">
        <v>217</v>
      </c>
      <c r="G28" s="8" t="s">
        <v>217</v>
      </c>
      <c r="H28" s="39">
        <f>SUM(H29:H34)</f>
        <v>0</v>
      </c>
      <c r="I28" s="44" t="s">
        <v>162</v>
      </c>
      <c r="AG28" s="9" t="s">
        <v>175</v>
      </c>
      <c r="AQ28" s="16">
        <f>SUM(AH29:AH34)</f>
        <v>0</v>
      </c>
      <c r="AR28" s="16">
        <f>SUM(AI29:AI34)</f>
        <v>0</v>
      </c>
      <c r="AS28" s="16">
        <f>SUM(AJ29:AJ34)</f>
        <v>0</v>
      </c>
    </row>
    <row r="29" spans="1:73" ht="13.5" customHeight="1">
      <c r="A29" s="6" t="s">
        <v>239</v>
      </c>
      <c r="B29" s="14" t="s">
        <v>68</v>
      </c>
      <c r="C29" s="106" t="s">
        <v>26</v>
      </c>
      <c r="D29" s="107"/>
      <c r="E29" s="19">
        <v>16</v>
      </c>
      <c r="F29" s="25" t="s">
        <v>52</v>
      </c>
      <c r="G29" s="156">
        <v>0</v>
      </c>
      <c r="H29" s="40">
        <f>ROUND(E29*G29,2)</f>
        <v>0</v>
      </c>
      <c r="I29" s="45" t="s">
        <v>101</v>
      </c>
      <c r="X29" s="19">
        <f>IF(AO29="5",BH29,0)</f>
        <v>0</v>
      </c>
      <c r="Z29" s="19">
        <f>IF(AO29="1",BF29,0)</f>
        <v>0</v>
      </c>
      <c r="AA29" s="19">
        <f>IF(AO29="1",BG29,0)</f>
        <v>0</v>
      </c>
      <c r="AB29" s="19">
        <f>IF(AO29="7",BF29,0)</f>
        <v>0</v>
      </c>
      <c r="AC29" s="19">
        <f>IF(AO29="7",BG29,0)</f>
        <v>0</v>
      </c>
      <c r="AD29" s="19">
        <f>IF(AO29="2",BF29,0)</f>
        <v>0</v>
      </c>
      <c r="AE29" s="19">
        <f>IF(AO29="2",BG29,0)</f>
        <v>0</v>
      </c>
      <c r="AF29" s="19">
        <f>IF(AO29="0",BH29,0)</f>
        <v>0</v>
      </c>
      <c r="AG29" s="9" t="s">
        <v>175</v>
      </c>
      <c r="AH29" s="19">
        <f>IF(AL29=0,H29,0)</f>
        <v>0</v>
      </c>
      <c r="AI29" s="19">
        <f>IF(AL29=15,H29,0)</f>
        <v>0</v>
      </c>
      <c r="AJ29" s="19">
        <f>IF(AL29=21,H29,0)</f>
        <v>0</v>
      </c>
      <c r="AL29" s="19">
        <v>21</v>
      </c>
      <c r="AM29" s="19">
        <f>G29*0</f>
        <v>0</v>
      </c>
      <c r="AN29" s="19">
        <f>G29*(1-0)</f>
        <v>0</v>
      </c>
      <c r="AO29" s="10" t="s">
        <v>238</v>
      </c>
      <c r="AT29" s="19">
        <f>AU29+AV29</f>
        <v>0</v>
      </c>
      <c r="AU29" s="19">
        <f>E29*AM29</f>
        <v>0</v>
      </c>
      <c r="AV29" s="19">
        <f>E29*AN29</f>
        <v>0</v>
      </c>
      <c r="AW29" s="10" t="s">
        <v>218</v>
      </c>
      <c r="AX29" s="10" t="s">
        <v>213</v>
      </c>
      <c r="AY29" s="9" t="s">
        <v>260</v>
      </c>
      <c r="BA29" s="19">
        <f>AU29+AV29</f>
        <v>0</v>
      </c>
      <c r="BB29" s="19">
        <f>G29/(100-BC29)*100</f>
        <v>0</v>
      </c>
      <c r="BC29" s="19">
        <v>0</v>
      </c>
      <c r="BD29" s="19">
        <f>28</f>
        <v>28</v>
      </c>
      <c r="BF29" s="19">
        <f>E29*AM29</f>
        <v>0</v>
      </c>
      <c r="BG29" s="19">
        <f>E29*AN29</f>
        <v>0</v>
      </c>
      <c r="BH29" s="19">
        <f>E29*G29</f>
        <v>0</v>
      </c>
      <c r="BI29" s="19"/>
      <c r="BJ29" s="19">
        <v>16</v>
      </c>
      <c r="BU29" s="19">
        <v>21</v>
      </c>
    </row>
    <row r="30" spans="1:9" ht="13.5" customHeight="1">
      <c r="A30" s="3"/>
      <c r="B30" s="1" t="s">
        <v>114</v>
      </c>
      <c r="C30" s="81" t="s">
        <v>74</v>
      </c>
      <c r="D30" s="82"/>
      <c r="E30" s="82"/>
      <c r="F30" s="82"/>
      <c r="G30" s="82"/>
      <c r="H30" s="82"/>
      <c r="I30" s="83"/>
    </row>
    <row r="31" spans="1:9" ht="15" customHeight="1">
      <c r="A31" s="3"/>
      <c r="C31" s="4" t="s">
        <v>239</v>
      </c>
      <c r="D31" s="4" t="s">
        <v>212</v>
      </c>
      <c r="E31" s="2">
        <v>7.000000000000001</v>
      </c>
      <c r="I31" s="46"/>
    </row>
    <row r="32" spans="1:9" ht="15" customHeight="1">
      <c r="A32" s="3"/>
      <c r="C32" s="4" t="s">
        <v>205</v>
      </c>
      <c r="D32" s="4" t="s">
        <v>253</v>
      </c>
      <c r="E32" s="2">
        <v>3.0000000000000004</v>
      </c>
      <c r="I32" s="46"/>
    </row>
    <row r="33" spans="1:9" ht="15" customHeight="1">
      <c r="A33" s="3"/>
      <c r="C33" s="4" t="s">
        <v>35</v>
      </c>
      <c r="D33" s="4" t="s">
        <v>301</v>
      </c>
      <c r="E33" s="2">
        <v>6.000000000000001</v>
      </c>
      <c r="I33" s="46"/>
    </row>
    <row r="34" spans="1:73" ht="13.5" customHeight="1">
      <c r="A34" s="6" t="s">
        <v>184</v>
      </c>
      <c r="B34" s="14" t="s">
        <v>70</v>
      </c>
      <c r="C34" s="106" t="s">
        <v>77</v>
      </c>
      <c r="D34" s="107"/>
      <c r="E34" s="19">
        <v>5</v>
      </c>
      <c r="F34" s="25" t="s">
        <v>52</v>
      </c>
      <c r="G34" s="156">
        <v>0</v>
      </c>
      <c r="H34" s="40">
        <f>ROUND(E34*G34,2)</f>
        <v>0</v>
      </c>
      <c r="I34" s="45" t="s">
        <v>101</v>
      </c>
      <c r="X34" s="19">
        <f>IF(AO34="5",BH34,0)</f>
        <v>0</v>
      </c>
      <c r="Z34" s="19">
        <f>IF(AO34="1",BF34,0)</f>
        <v>0</v>
      </c>
      <c r="AA34" s="19">
        <f>IF(AO34="1",BG34,0)</f>
        <v>0</v>
      </c>
      <c r="AB34" s="19">
        <f>IF(AO34="7",BF34,0)</f>
        <v>0</v>
      </c>
      <c r="AC34" s="19">
        <f>IF(AO34="7",BG34,0)</f>
        <v>0</v>
      </c>
      <c r="AD34" s="19">
        <f>IF(AO34="2",BF34,0)</f>
        <v>0</v>
      </c>
      <c r="AE34" s="19">
        <f>IF(AO34="2",BG34,0)</f>
        <v>0</v>
      </c>
      <c r="AF34" s="19">
        <f>IF(AO34="0",BH34,0)</f>
        <v>0</v>
      </c>
      <c r="AG34" s="9" t="s">
        <v>175</v>
      </c>
      <c r="AH34" s="19">
        <f>IF(AL34=0,H34,0)</f>
        <v>0</v>
      </c>
      <c r="AI34" s="19">
        <f>IF(AL34=15,H34,0)</f>
        <v>0</v>
      </c>
      <c r="AJ34" s="19">
        <f>IF(AL34=21,H34,0)</f>
        <v>0</v>
      </c>
      <c r="AL34" s="19">
        <v>21</v>
      </c>
      <c r="AM34" s="19">
        <f>G34*0</f>
        <v>0</v>
      </c>
      <c r="AN34" s="19">
        <f>G34*(1-0)</f>
        <v>0</v>
      </c>
      <c r="AO34" s="10" t="s">
        <v>238</v>
      </c>
      <c r="AT34" s="19">
        <f>AU34+AV34</f>
        <v>0</v>
      </c>
      <c r="AU34" s="19">
        <f>E34*AM34</f>
        <v>0</v>
      </c>
      <c r="AV34" s="19">
        <f>E34*AN34</f>
        <v>0</v>
      </c>
      <c r="AW34" s="10" t="s">
        <v>218</v>
      </c>
      <c r="AX34" s="10" t="s">
        <v>213</v>
      </c>
      <c r="AY34" s="9" t="s">
        <v>260</v>
      </c>
      <c r="BA34" s="19">
        <f>AU34+AV34</f>
        <v>0</v>
      </c>
      <c r="BB34" s="19">
        <f>G34/(100-BC34)*100</f>
        <v>0</v>
      </c>
      <c r="BC34" s="19">
        <v>0</v>
      </c>
      <c r="BD34" s="19">
        <f>33</f>
        <v>33</v>
      </c>
      <c r="BF34" s="19">
        <f>E34*AM34</f>
        <v>0</v>
      </c>
      <c r="BG34" s="19">
        <f>E34*AN34</f>
        <v>0</v>
      </c>
      <c r="BH34" s="19">
        <f>E34*G34</f>
        <v>0</v>
      </c>
      <c r="BI34" s="19"/>
      <c r="BJ34" s="19">
        <v>16</v>
      </c>
      <c r="BU34" s="19">
        <v>21</v>
      </c>
    </row>
    <row r="35" spans="1:9" ht="13.5" customHeight="1">
      <c r="A35" s="3"/>
      <c r="B35" s="1" t="s">
        <v>114</v>
      </c>
      <c r="C35" s="81" t="s">
        <v>240</v>
      </c>
      <c r="D35" s="82"/>
      <c r="E35" s="82"/>
      <c r="F35" s="82"/>
      <c r="G35" s="82"/>
      <c r="H35" s="82"/>
      <c r="I35" s="83"/>
    </row>
    <row r="36" spans="1:9" ht="15" customHeight="1">
      <c r="A36" s="3"/>
      <c r="C36" s="4" t="s">
        <v>119</v>
      </c>
      <c r="D36" s="4" t="s">
        <v>302</v>
      </c>
      <c r="E36" s="2">
        <v>5</v>
      </c>
      <c r="I36" s="46"/>
    </row>
    <row r="37" spans="1:45" ht="15" customHeight="1">
      <c r="A37" s="20" t="s">
        <v>162</v>
      </c>
      <c r="B37" s="21" t="s">
        <v>186</v>
      </c>
      <c r="C37" s="104" t="s">
        <v>244</v>
      </c>
      <c r="D37" s="105"/>
      <c r="E37" s="8" t="s">
        <v>217</v>
      </c>
      <c r="F37" s="8" t="s">
        <v>217</v>
      </c>
      <c r="G37" s="8" t="s">
        <v>217</v>
      </c>
      <c r="H37" s="39">
        <f>SUM(H38:H44)</f>
        <v>0</v>
      </c>
      <c r="I37" s="44" t="s">
        <v>162</v>
      </c>
      <c r="AG37" s="9" t="s">
        <v>175</v>
      </c>
      <c r="AQ37" s="16">
        <f>SUM(AH38:AH44)</f>
        <v>0</v>
      </c>
      <c r="AR37" s="16">
        <f>SUM(AI38:AI44)</f>
        <v>0</v>
      </c>
      <c r="AS37" s="16">
        <f>SUM(AJ38:AJ44)</f>
        <v>0</v>
      </c>
    </row>
    <row r="38" spans="1:73" ht="13.5" customHeight="1">
      <c r="A38" s="6" t="s">
        <v>84</v>
      </c>
      <c r="B38" s="14" t="s">
        <v>97</v>
      </c>
      <c r="C38" s="106" t="s">
        <v>156</v>
      </c>
      <c r="D38" s="107"/>
      <c r="E38" s="19">
        <v>220</v>
      </c>
      <c r="F38" s="25" t="s">
        <v>234</v>
      </c>
      <c r="G38" s="156">
        <v>0</v>
      </c>
      <c r="H38" s="40">
        <f>ROUND(E38*G38,2)</f>
        <v>0</v>
      </c>
      <c r="I38" s="45" t="s">
        <v>101</v>
      </c>
      <c r="X38" s="19">
        <f>IF(AO38="5",BH38,0)</f>
        <v>0</v>
      </c>
      <c r="Z38" s="19">
        <f>IF(AO38="1",BF38,0)</f>
        <v>0</v>
      </c>
      <c r="AA38" s="19">
        <f>IF(AO38="1",BG38,0)</f>
        <v>0</v>
      </c>
      <c r="AB38" s="19">
        <f>IF(AO38="7",BF38,0)</f>
        <v>0</v>
      </c>
      <c r="AC38" s="19">
        <f>IF(AO38="7",BG38,0)</f>
        <v>0</v>
      </c>
      <c r="AD38" s="19">
        <f>IF(AO38="2",BF38,0)</f>
        <v>0</v>
      </c>
      <c r="AE38" s="19">
        <f>IF(AO38="2",BG38,0)</f>
        <v>0</v>
      </c>
      <c r="AF38" s="19">
        <f>IF(AO38="0",BH38,0)</f>
        <v>0</v>
      </c>
      <c r="AG38" s="9" t="s">
        <v>175</v>
      </c>
      <c r="AH38" s="19">
        <f>IF(AL38=0,H38,0)</f>
        <v>0</v>
      </c>
      <c r="AI38" s="19">
        <f>IF(AL38=15,H38,0)</f>
        <v>0</v>
      </c>
      <c r="AJ38" s="19">
        <f>IF(AL38=21,H38,0)</f>
        <v>0</v>
      </c>
      <c r="AL38" s="19">
        <v>21</v>
      </c>
      <c r="AM38" s="19">
        <f>G38*0.012326656394453</f>
        <v>0</v>
      </c>
      <c r="AN38" s="19">
        <f>G38*(1-0.012326656394453)</f>
        <v>0</v>
      </c>
      <c r="AO38" s="10" t="s">
        <v>238</v>
      </c>
      <c r="AT38" s="19">
        <f>AU38+AV38</f>
        <v>0</v>
      </c>
      <c r="AU38" s="19">
        <f>E38*AM38</f>
        <v>0</v>
      </c>
      <c r="AV38" s="19">
        <f>E38*AN38</f>
        <v>0</v>
      </c>
      <c r="AW38" s="10" t="s">
        <v>111</v>
      </c>
      <c r="AX38" s="10" t="s">
        <v>213</v>
      </c>
      <c r="AY38" s="9" t="s">
        <v>260</v>
      </c>
      <c r="BA38" s="19">
        <f>AU38+AV38</f>
        <v>0</v>
      </c>
      <c r="BB38" s="19">
        <f>G38/(100-BC38)*100</f>
        <v>0</v>
      </c>
      <c r="BC38" s="19">
        <v>0</v>
      </c>
      <c r="BD38" s="19">
        <f>37</f>
        <v>37</v>
      </c>
      <c r="BF38" s="19">
        <f>E38*AM38</f>
        <v>0</v>
      </c>
      <c r="BG38" s="19">
        <f>E38*AN38</f>
        <v>0</v>
      </c>
      <c r="BH38" s="19">
        <f>E38*G38</f>
        <v>0</v>
      </c>
      <c r="BI38" s="19"/>
      <c r="BJ38" s="19">
        <v>18</v>
      </c>
      <c r="BU38" s="19">
        <v>21</v>
      </c>
    </row>
    <row r="39" spans="1:9" ht="13.5" customHeight="1">
      <c r="A39" s="3"/>
      <c r="B39" s="1" t="s">
        <v>114</v>
      </c>
      <c r="C39" s="82" t="s">
        <v>9</v>
      </c>
      <c r="D39" s="82"/>
      <c r="E39" s="82"/>
      <c r="F39" s="82"/>
      <c r="G39" s="82"/>
      <c r="H39" s="82"/>
      <c r="I39" s="83"/>
    </row>
    <row r="40" spans="1:9" ht="15" customHeight="1">
      <c r="A40" s="3"/>
      <c r="C40" s="4" t="s">
        <v>75</v>
      </c>
      <c r="D40" s="4" t="s">
        <v>139</v>
      </c>
      <c r="E40" s="2">
        <v>150</v>
      </c>
      <c r="I40" s="46"/>
    </row>
    <row r="41" spans="1:9" ht="15" customHeight="1">
      <c r="A41" s="3"/>
      <c r="C41" s="4" t="s">
        <v>268</v>
      </c>
      <c r="D41" s="4" t="s">
        <v>255</v>
      </c>
      <c r="E41" s="2">
        <v>70</v>
      </c>
      <c r="I41" s="46"/>
    </row>
    <row r="42" spans="1:73" ht="13.5" customHeight="1">
      <c r="A42" s="6" t="s">
        <v>131</v>
      </c>
      <c r="B42" s="14" t="s">
        <v>69</v>
      </c>
      <c r="C42" s="106" t="s">
        <v>56</v>
      </c>
      <c r="D42" s="107"/>
      <c r="E42" s="19">
        <v>5</v>
      </c>
      <c r="F42" s="25" t="s">
        <v>99</v>
      </c>
      <c r="G42" s="156">
        <v>0</v>
      </c>
      <c r="H42" s="40">
        <f>ROUND(E42*G42,2)</f>
        <v>0</v>
      </c>
      <c r="I42" s="45" t="s">
        <v>101</v>
      </c>
      <c r="X42" s="19">
        <f>IF(AO42="5",BH42,0)</f>
        <v>0</v>
      </c>
      <c r="Z42" s="19">
        <f>IF(AO42="1",BF42,0)</f>
        <v>0</v>
      </c>
      <c r="AA42" s="19">
        <f>IF(AO42="1",BG42,0)</f>
        <v>0</v>
      </c>
      <c r="AB42" s="19">
        <f>IF(AO42="7",BF42,0)</f>
        <v>0</v>
      </c>
      <c r="AC42" s="19">
        <f>IF(AO42="7",BG42,0)</f>
        <v>0</v>
      </c>
      <c r="AD42" s="19">
        <f>IF(AO42="2",BF42,0)</f>
        <v>0</v>
      </c>
      <c r="AE42" s="19">
        <f>IF(AO42="2",BG42,0)</f>
        <v>0</v>
      </c>
      <c r="AF42" s="19">
        <f>IF(AO42="0",BH42,0)</f>
        <v>0</v>
      </c>
      <c r="AG42" s="9" t="s">
        <v>175</v>
      </c>
      <c r="AH42" s="19">
        <f>IF(AL42=0,H42,0)</f>
        <v>0</v>
      </c>
      <c r="AI42" s="19">
        <f>IF(AL42=15,H42,0)</f>
        <v>0</v>
      </c>
      <c r="AJ42" s="19">
        <f>IF(AL42=21,H42,0)</f>
        <v>0</v>
      </c>
      <c r="AL42" s="19">
        <v>21</v>
      </c>
      <c r="AM42" s="19">
        <f>G42*1</f>
        <v>0</v>
      </c>
      <c r="AN42" s="19">
        <f>G42*(1-1)</f>
        <v>0</v>
      </c>
      <c r="AO42" s="10" t="s">
        <v>238</v>
      </c>
      <c r="AT42" s="19">
        <f>AU42+AV42</f>
        <v>0</v>
      </c>
      <c r="AU42" s="19">
        <f>E42*AM42</f>
        <v>0</v>
      </c>
      <c r="AV42" s="19">
        <f>E42*AN42</f>
        <v>0</v>
      </c>
      <c r="AW42" s="10" t="s">
        <v>111</v>
      </c>
      <c r="AX42" s="10" t="s">
        <v>213</v>
      </c>
      <c r="AY42" s="9" t="s">
        <v>260</v>
      </c>
      <c r="BA42" s="19">
        <f>AU42+AV42</f>
        <v>0</v>
      </c>
      <c r="BB42" s="19">
        <f>G42/(100-BC42)*100</f>
        <v>0</v>
      </c>
      <c r="BC42" s="19">
        <v>0</v>
      </c>
      <c r="BD42" s="19">
        <f>41</f>
        <v>41</v>
      </c>
      <c r="BF42" s="19">
        <f>E42*AM42</f>
        <v>0</v>
      </c>
      <c r="BG42" s="19">
        <f>E42*AN42</f>
        <v>0</v>
      </c>
      <c r="BH42" s="19">
        <f>E42*G42</f>
        <v>0</v>
      </c>
      <c r="BI42" s="19"/>
      <c r="BJ42" s="19">
        <v>18</v>
      </c>
      <c r="BU42" s="19">
        <v>21</v>
      </c>
    </row>
    <row r="43" spans="1:73" ht="13.5" customHeight="1">
      <c r="A43" s="6" t="s">
        <v>198</v>
      </c>
      <c r="B43" s="14" t="s">
        <v>157</v>
      </c>
      <c r="C43" s="106" t="s">
        <v>178</v>
      </c>
      <c r="D43" s="107"/>
      <c r="E43" s="19">
        <v>40</v>
      </c>
      <c r="F43" s="25" t="s">
        <v>104</v>
      </c>
      <c r="G43" s="156">
        <v>0</v>
      </c>
      <c r="H43" s="40">
        <f>ROUND(E43*G43,2)</f>
        <v>0</v>
      </c>
      <c r="I43" s="45" t="s">
        <v>101</v>
      </c>
      <c r="X43" s="19">
        <f>IF(AO43="5",BH43,0)</f>
        <v>0</v>
      </c>
      <c r="Z43" s="19">
        <f>IF(AO43="1",BF43,0)</f>
        <v>0</v>
      </c>
      <c r="AA43" s="19">
        <f>IF(AO43="1",BG43,0)</f>
        <v>0</v>
      </c>
      <c r="AB43" s="19">
        <f>IF(AO43="7",BF43,0)</f>
        <v>0</v>
      </c>
      <c r="AC43" s="19">
        <f>IF(AO43="7",BG43,0)</f>
        <v>0</v>
      </c>
      <c r="AD43" s="19">
        <f>IF(AO43="2",BF43,0)</f>
        <v>0</v>
      </c>
      <c r="AE43" s="19">
        <f>IF(AO43="2",BG43,0)</f>
        <v>0</v>
      </c>
      <c r="AF43" s="19">
        <f>IF(AO43="0",BH43,0)</f>
        <v>0</v>
      </c>
      <c r="AG43" s="9" t="s">
        <v>175</v>
      </c>
      <c r="AH43" s="19">
        <f>IF(AL43=0,H43,0)</f>
        <v>0</v>
      </c>
      <c r="AI43" s="19">
        <f>IF(AL43=15,H43,0)</f>
        <v>0</v>
      </c>
      <c r="AJ43" s="19">
        <f>IF(AL43=21,H43,0)</f>
        <v>0</v>
      </c>
      <c r="AL43" s="19">
        <v>21</v>
      </c>
      <c r="AM43" s="19">
        <f>G43*0</f>
        <v>0</v>
      </c>
      <c r="AN43" s="19">
        <f>G43*(1-0)</f>
        <v>0</v>
      </c>
      <c r="AO43" s="10" t="s">
        <v>238</v>
      </c>
      <c r="AT43" s="19">
        <f>AU43+AV43</f>
        <v>0</v>
      </c>
      <c r="AU43" s="19">
        <f>E43*AM43</f>
        <v>0</v>
      </c>
      <c r="AV43" s="19">
        <f>E43*AN43</f>
        <v>0</v>
      </c>
      <c r="AW43" s="10" t="s">
        <v>111</v>
      </c>
      <c r="AX43" s="10" t="s">
        <v>213</v>
      </c>
      <c r="AY43" s="9" t="s">
        <v>260</v>
      </c>
      <c r="BA43" s="19">
        <f>AU43+AV43</f>
        <v>0</v>
      </c>
      <c r="BB43" s="19">
        <f>G43/(100-BC43)*100</f>
        <v>0</v>
      </c>
      <c r="BC43" s="19">
        <v>0</v>
      </c>
      <c r="BD43" s="19">
        <f>42</f>
        <v>42</v>
      </c>
      <c r="BF43" s="19">
        <f>E43*AM43</f>
        <v>0</v>
      </c>
      <c r="BG43" s="19">
        <f>E43*AN43</f>
        <v>0</v>
      </c>
      <c r="BH43" s="19">
        <f>E43*G43</f>
        <v>0</v>
      </c>
      <c r="BI43" s="19"/>
      <c r="BJ43" s="19">
        <v>18</v>
      </c>
      <c r="BU43" s="19">
        <v>21</v>
      </c>
    </row>
    <row r="44" spans="1:73" ht="13.5" customHeight="1">
      <c r="A44" s="6" t="s">
        <v>172</v>
      </c>
      <c r="B44" s="14" t="s">
        <v>121</v>
      </c>
      <c r="C44" s="106" t="s">
        <v>247</v>
      </c>
      <c r="D44" s="107"/>
      <c r="E44" s="19">
        <v>50</v>
      </c>
      <c r="F44" s="25" t="s">
        <v>230</v>
      </c>
      <c r="G44" s="156">
        <v>0</v>
      </c>
      <c r="H44" s="40">
        <f>ROUND(E44*G44,2)</f>
        <v>0</v>
      </c>
      <c r="I44" s="45" t="s">
        <v>101</v>
      </c>
      <c r="X44" s="19">
        <f>IF(AO44="5",BH44,0)</f>
        <v>0</v>
      </c>
      <c r="Z44" s="19">
        <f>IF(AO44="1",BF44,0)</f>
        <v>0</v>
      </c>
      <c r="AA44" s="19">
        <f>IF(AO44="1",BG44,0)</f>
        <v>0</v>
      </c>
      <c r="AB44" s="19">
        <f>IF(AO44="7",BF44,0)</f>
        <v>0</v>
      </c>
      <c r="AC44" s="19">
        <f>IF(AO44="7",BG44,0)</f>
        <v>0</v>
      </c>
      <c r="AD44" s="19">
        <f>IF(AO44="2",BF44,0)</f>
        <v>0</v>
      </c>
      <c r="AE44" s="19">
        <f>IF(AO44="2",BG44,0)</f>
        <v>0</v>
      </c>
      <c r="AF44" s="19">
        <f>IF(AO44="0",BH44,0)</f>
        <v>0</v>
      </c>
      <c r="AG44" s="9" t="s">
        <v>175</v>
      </c>
      <c r="AH44" s="19">
        <f>IF(AL44=0,H44,0)</f>
        <v>0</v>
      </c>
      <c r="AI44" s="19">
        <f>IF(AL44=15,H44,0)</f>
        <v>0</v>
      </c>
      <c r="AJ44" s="19">
        <f>IF(AL44=21,H44,0)</f>
        <v>0</v>
      </c>
      <c r="AL44" s="19">
        <v>21</v>
      </c>
      <c r="AM44" s="19">
        <f>G44*0</f>
        <v>0</v>
      </c>
      <c r="AN44" s="19">
        <f>G44*(1-0)</f>
        <v>0</v>
      </c>
      <c r="AO44" s="10" t="s">
        <v>119</v>
      </c>
      <c r="AT44" s="19">
        <f>AU44+AV44</f>
        <v>0</v>
      </c>
      <c r="AU44" s="19">
        <f>E44*AM44</f>
        <v>0</v>
      </c>
      <c r="AV44" s="19">
        <f>E44*AN44</f>
        <v>0</v>
      </c>
      <c r="AW44" s="10" t="s">
        <v>111</v>
      </c>
      <c r="AX44" s="10" t="s">
        <v>213</v>
      </c>
      <c r="AY44" s="9" t="s">
        <v>260</v>
      </c>
      <c r="BA44" s="19">
        <f>AU44+AV44</f>
        <v>0</v>
      </c>
      <c r="BB44" s="19">
        <f>G44/(100-BC44)*100</f>
        <v>0</v>
      </c>
      <c r="BC44" s="19">
        <v>0</v>
      </c>
      <c r="BD44" s="19">
        <f>43</f>
        <v>43</v>
      </c>
      <c r="BF44" s="19">
        <f>E44*AM44</f>
        <v>0</v>
      </c>
      <c r="BG44" s="19">
        <f>E44*AN44</f>
        <v>0</v>
      </c>
      <c r="BH44" s="19">
        <f>E44*G44</f>
        <v>0</v>
      </c>
      <c r="BI44" s="19"/>
      <c r="BJ44" s="19">
        <v>18</v>
      </c>
      <c r="BU44" s="19">
        <v>21</v>
      </c>
    </row>
    <row r="45" spans="1:60" ht="12" customHeight="1">
      <c r="A45" s="25"/>
      <c r="B45" s="25"/>
      <c r="C45" s="24"/>
      <c r="D45" s="24"/>
      <c r="E45" s="25"/>
      <c r="F45" s="25"/>
      <c r="G45" s="36"/>
      <c r="H45" s="71"/>
      <c r="I45" s="72"/>
      <c r="X45" s="9"/>
      <c r="Y45" s="9"/>
      <c r="Z45" s="9"/>
      <c r="AA45" s="9"/>
      <c r="AB45" s="9"/>
      <c r="AC45" s="9"/>
      <c r="AD45" s="9"/>
      <c r="AE45" s="9"/>
      <c r="AF45" s="9"/>
      <c r="BF45" s="9"/>
      <c r="BG45" s="9"/>
      <c r="BH45" s="9"/>
    </row>
    <row r="46" spans="1:9" ht="19.5" customHeight="1">
      <c r="A46" s="30" t="s">
        <v>273</v>
      </c>
      <c r="B46" s="28" t="s">
        <v>162</v>
      </c>
      <c r="C46" s="102" t="s">
        <v>299</v>
      </c>
      <c r="D46" s="103"/>
      <c r="E46" s="29" t="s">
        <v>217</v>
      </c>
      <c r="F46" s="29" t="s">
        <v>217</v>
      </c>
      <c r="G46" s="29" t="s">
        <v>217</v>
      </c>
      <c r="H46" s="38">
        <f>H47+H93</f>
        <v>0</v>
      </c>
      <c r="I46" s="43" t="s">
        <v>162</v>
      </c>
    </row>
    <row r="47" spans="1:45" ht="15" customHeight="1">
      <c r="A47" s="20" t="s">
        <v>162</v>
      </c>
      <c r="B47" s="21" t="s">
        <v>186</v>
      </c>
      <c r="C47" s="104" t="s">
        <v>244</v>
      </c>
      <c r="D47" s="105"/>
      <c r="E47" s="8" t="s">
        <v>217</v>
      </c>
      <c r="F47" s="8" t="s">
        <v>217</v>
      </c>
      <c r="G47" s="8" t="s">
        <v>217</v>
      </c>
      <c r="H47" s="39">
        <f>SUM(H48:H88)</f>
        <v>0</v>
      </c>
      <c r="I47" s="44" t="s">
        <v>162</v>
      </c>
      <c r="AG47" s="9" t="s">
        <v>0</v>
      </c>
      <c r="AQ47" s="16">
        <f>SUM(AH48:AH88)</f>
        <v>0</v>
      </c>
      <c r="AR47" s="16">
        <f>SUM(AI48:AI88)</f>
        <v>0</v>
      </c>
      <c r="AS47" s="16">
        <f>SUM(AJ48:AJ88)</f>
        <v>0</v>
      </c>
    </row>
    <row r="48" spans="1:73" ht="13.5" customHeight="1">
      <c r="A48" s="6" t="s">
        <v>63</v>
      </c>
      <c r="B48" s="14" t="s">
        <v>66</v>
      </c>
      <c r="C48" s="106" t="s">
        <v>16</v>
      </c>
      <c r="D48" s="107"/>
      <c r="E48" s="19">
        <v>20</v>
      </c>
      <c r="F48" s="25" t="s">
        <v>234</v>
      </c>
      <c r="G48" s="156">
        <v>0</v>
      </c>
      <c r="H48" s="40">
        <f>ROUND(E48*G48,2)</f>
        <v>0</v>
      </c>
      <c r="I48" s="45" t="s">
        <v>101</v>
      </c>
      <c r="X48" s="19">
        <f>IF(AO48="5",BH48,0)</f>
        <v>0</v>
      </c>
      <c r="Z48" s="19">
        <f>IF(AO48="1",BF48,0)</f>
        <v>0</v>
      </c>
      <c r="AA48" s="19">
        <f>IF(AO48="1",BG48,0)</f>
        <v>0</v>
      </c>
      <c r="AB48" s="19">
        <f>IF(AO48="7",BF48,0)</f>
        <v>0</v>
      </c>
      <c r="AC48" s="19">
        <f>IF(AO48="7",BG48,0)</f>
        <v>0</v>
      </c>
      <c r="AD48" s="19">
        <f>IF(AO48="2",BF48,0)</f>
        <v>0</v>
      </c>
      <c r="AE48" s="19">
        <f>IF(AO48="2",BG48,0)</f>
        <v>0</v>
      </c>
      <c r="AF48" s="19">
        <f>IF(AO48="0",BH48,0)</f>
        <v>0</v>
      </c>
      <c r="AG48" s="9" t="s">
        <v>0</v>
      </c>
      <c r="AH48" s="19">
        <f>IF(AL48=0,H48,0)</f>
        <v>0</v>
      </c>
      <c r="AI48" s="19">
        <f>IF(AL48=15,H48,0)</f>
        <v>0</v>
      </c>
      <c r="AJ48" s="19">
        <f>IF(AL48=21,H48,0)</f>
        <v>0</v>
      </c>
      <c r="AL48" s="19">
        <v>21</v>
      </c>
      <c r="AM48" s="19">
        <f>G48*0.403192488262911</f>
        <v>0</v>
      </c>
      <c r="AN48" s="19">
        <f>G48*(1-0.403192488262911)</f>
        <v>0</v>
      </c>
      <c r="AO48" s="10" t="s">
        <v>238</v>
      </c>
      <c r="AT48" s="19">
        <f>AU48+AV48</f>
        <v>0</v>
      </c>
      <c r="AU48" s="19">
        <f>E48*AM48</f>
        <v>0</v>
      </c>
      <c r="AV48" s="19">
        <f>E48*AN48</f>
        <v>0</v>
      </c>
      <c r="AW48" s="10" t="s">
        <v>111</v>
      </c>
      <c r="AX48" s="10" t="s">
        <v>71</v>
      </c>
      <c r="AY48" s="9" t="s">
        <v>209</v>
      </c>
      <c r="BA48" s="19">
        <f>AU48+AV48</f>
        <v>0</v>
      </c>
      <c r="BB48" s="19">
        <f>G48/(100-BC48)*100</f>
        <v>0</v>
      </c>
      <c r="BC48" s="19">
        <v>0</v>
      </c>
      <c r="BD48" s="19">
        <f>46</f>
        <v>46</v>
      </c>
      <c r="BF48" s="19">
        <f>E48*AM48</f>
        <v>0</v>
      </c>
      <c r="BG48" s="19">
        <f>E48*AN48</f>
        <v>0</v>
      </c>
      <c r="BH48" s="19">
        <f>E48*G48</f>
        <v>0</v>
      </c>
      <c r="BI48" s="19"/>
      <c r="BJ48" s="19">
        <v>18</v>
      </c>
      <c r="BU48" s="19">
        <v>21</v>
      </c>
    </row>
    <row r="49" spans="1:9" ht="13.5" customHeight="1">
      <c r="A49" s="3"/>
      <c r="B49" s="1" t="s">
        <v>114</v>
      </c>
      <c r="C49" s="81" t="s">
        <v>138</v>
      </c>
      <c r="D49" s="82"/>
      <c r="E49" s="82"/>
      <c r="F49" s="82"/>
      <c r="G49" s="82"/>
      <c r="H49" s="82"/>
      <c r="I49" s="83"/>
    </row>
    <row r="50" spans="1:9" ht="15" customHeight="1">
      <c r="A50" s="3"/>
      <c r="C50" s="4" t="s">
        <v>110</v>
      </c>
      <c r="D50" s="4" t="s">
        <v>123</v>
      </c>
      <c r="E50" s="2">
        <v>15.000000000000002</v>
      </c>
      <c r="I50" s="46"/>
    </row>
    <row r="51" spans="1:9" ht="15" customHeight="1">
      <c r="A51" s="3"/>
      <c r="C51" s="4" t="s">
        <v>208</v>
      </c>
      <c r="D51" s="4" t="s">
        <v>137</v>
      </c>
      <c r="E51" s="2">
        <v>5</v>
      </c>
      <c r="I51" s="46"/>
    </row>
    <row r="52" spans="1:73" ht="13.5" customHeight="1">
      <c r="A52" s="6" t="s">
        <v>134</v>
      </c>
      <c r="B52" s="14" t="s">
        <v>154</v>
      </c>
      <c r="C52" s="106" t="s">
        <v>191</v>
      </c>
      <c r="D52" s="107"/>
      <c r="E52" s="19">
        <v>30</v>
      </c>
      <c r="F52" s="25" t="s">
        <v>52</v>
      </c>
      <c r="G52" s="156">
        <v>0</v>
      </c>
      <c r="H52" s="40">
        <f>ROUND(E52*G52,2)</f>
        <v>0</v>
      </c>
      <c r="I52" s="45" t="s">
        <v>101</v>
      </c>
      <c r="X52" s="19">
        <f>IF(AO52="5",BH52,0)</f>
        <v>0</v>
      </c>
      <c r="Z52" s="19">
        <f>IF(AO52="1",BF52,0)</f>
        <v>0</v>
      </c>
      <c r="AA52" s="19">
        <f>IF(AO52="1",BG52,0)</f>
        <v>0</v>
      </c>
      <c r="AB52" s="19">
        <f>IF(AO52="7",BF52,0)</f>
        <v>0</v>
      </c>
      <c r="AC52" s="19">
        <f>IF(AO52="7",BG52,0)</f>
        <v>0</v>
      </c>
      <c r="AD52" s="19">
        <f>IF(AO52="2",BF52,0)</f>
        <v>0</v>
      </c>
      <c r="AE52" s="19">
        <f>IF(AO52="2",BG52,0)</f>
        <v>0</v>
      </c>
      <c r="AF52" s="19">
        <f>IF(AO52="0",BH52,0)</f>
        <v>0</v>
      </c>
      <c r="AG52" s="9" t="s">
        <v>0</v>
      </c>
      <c r="AH52" s="19">
        <f>IF(AL52=0,H52,0)</f>
        <v>0</v>
      </c>
      <c r="AI52" s="19">
        <f>IF(AL52=15,H52,0)</f>
        <v>0</v>
      </c>
      <c r="AJ52" s="19">
        <f>IF(AL52=21,H52,0)</f>
        <v>0</v>
      </c>
      <c r="AL52" s="19">
        <v>21</v>
      </c>
      <c r="AM52" s="19">
        <f>G52*0</f>
        <v>0</v>
      </c>
      <c r="AN52" s="19">
        <f>G52*(1-0)</f>
        <v>0</v>
      </c>
      <c r="AO52" s="10" t="s">
        <v>238</v>
      </c>
      <c r="AT52" s="19">
        <f>AU52+AV52</f>
        <v>0</v>
      </c>
      <c r="AU52" s="19">
        <f>E52*AM52</f>
        <v>0</v>
      </c>
      <c r="AV52" s="19">
        <f>E52*AN52</f>
        <v>0</v>
      </c>
      <c r="AW52" s="10" t="s">
        <v>111</v>
      </c>
      <c r="AX52" s="10" t="s">
        <v>71</v>
      </c>
      <c r="AY52" s="9" t="s">
        <v>209</v>
      </c>
      <c r="BA52" s="19">
        <f>AU52+AV52</f>
        <v>0</v>
      </c>
      <c r="BB52" s="19">
        <f>G52/(100-BC52)*100</f>
        <v>0</v>
      </c>
      <c r="BC52" s="19">
        <v>0</v>
      </c>
      <c r="BD52" s="19">
        <f>50</f>
        <v>50</v>
      </c>
      <c r="BF52" s="19">
        <f>E52*AM52</f>
        <v>0</v>
      </c>
      <c r="BG52" s="19">
        <f>E52*AN52</f>
        <v>0</v>
      </c>
      <c r="BH52" s="19">
        <f>E52*G52</f>
        <v>0</v>
      </c>
      <c r="BI52" s="19"/>
      <c r="BJ52" s="19">
        <v>18</v>
      </c>
      <c r="BU52" s="19">
        <v>21</v>
      </c>
    </row>
    <row r="53" spans="1:9" ht="15" customHeight="1">
      <c r="A53" s="3"/>
      <c r="C53" s="4" t="s">
        <v>148</v>
      </c>
      <c r="D53" s="4" t="s">
        <v>38</v>
      </c>
      <c r="E53" s="2">
        <v>30.000000000000004</v>
      </c>
      <c r="I53" s="46"/>
    </row>
    <row r="54" spans="1:73" ht="13.5" customHeight="1">
      <c r="A54" s="6" t="s">
        <v>86</v>
      </c>
      <c r="B54" s="14" t="s">
        <v>228</v>
      </c>
      <c r="C54" s="106" t="s">
        <v>120</v>
      </c>
      <c r="D54" s="107"/>
      <c r="E54" s="19">
        <v>30</v>
      </c>
      <c r="F54" s="25" t="s">
        <v>52</v>
      </c>
      <c r="G54" s="156">
        <v>0</v>
      </c>
      <c r="H54" s="40">
        <f>ROUND(E54*G54,2)</f>
        <v>0</v>
      </c>
      <c r="I54" s="45" t="s">
        <v>101</v>
      </c>
      <c r="X54" s="19">
        <f>IF(AO54="5",BH54,0)</f>
        <v>0</v>
      </c>
      <c r="Z54" s="19">
        <f>IF(AO54="1",BF54,0)</f>
        <v>0</v>
      </c>
      <c r="AA54" s="19">
        <f>IF(AO54="1",BG54,0)</f>
        <v>0</v>
      </c>
      <c r="AB54" s="19">
        <f>IF(AO54="7",BF54,0)</f>
        <v>0</v>
      </c>
      <c r="AC54" s="19">
        <f>IF(AO54="7",BG54,0)</f>
        <v>0</v>
      </c>
      <c r="AD54" s="19">
        <f>IF(AO54="2",BF54,0)</f>
        <v>0</v>
      </c>
      <c r="AE54" s="19">
        <f>IF(AO54="2",BG54,0)</f>
        <v>0</v>
      </c>
      <c r="AF54" s="19">
        <f>IF(AO54="0",BH54,0)</f>
        <v>0</v>
      </c>
      <c r="AG54" s="9" t="s">
        <v>0</v>
      </c>
      <c r="AH54" s="19">
        <f>IF(AL54=0,H54,0)</f>
        <v>0</v>
      </c>
      <c r="AI54" s="19">
        <f>IF(AL54=15,H54,0)</f>
        <v>0</v>
      </c>
      <c r="AJ54" s="19">
        <f>IF(AL54=21,H54,0)</f>
        <v>0</v>
      </c>
      <c r="AL54" s="19">
        <v>21</v>
      </c>
      <c r="AM54" s="19">
        <f>G54*0.00389294403892944</f>
        <v>0</v>
      </c>
      <c r="AN54" s="19">
        <f>G54*(1-0.00389294403892944)</f>
        <v>0</v>
      </c>
      <c r="AO54" s="10" t="s">
        <v>238</v>
      </c>
      <c r="AT54" s="19">
        <f>AU54+AV54</f>
        <v>0</v>
      </c>
      <c r="AU54" s="19">
        <f>E54*AM54</f>
        <v>0</v>
      </c>
      <c r="AV54" s="19">
        <f>E54*AN54</f>
        <v>0</v>
      </c>
      <c r="AW54" s="10" t="s">
        <v>111</v>
      </c>
      <c r="AX54" s="10" t="s">
        <v>71</v>
      </c>
      <c r="AY54" s="9" t="s">
        <v>209</v>
      </c>
      <c r="BA54" s="19">
        <f>AU54+AV54</f>
        <v>0</v>
      </c>
      <c r="BB54" s="19">
        <f>G54/(100-BC54)*100</f>
        <v>0</v>
      </c>
      <c r="BC54" s="19">
        <v>0</v>
      </c>
      <c r="BD54" s="19">
        <f>52</f>
        <v>52</v>
      </c>
      <c r="BF54" s="19">
        <f>E54*AM54</f>
        <v>0</v>
      </c>
      <c r="BG54" s="19">
        <f>E54*AN54</f>
        <v>0</v>
      </c>
      <c r="BH54" s="19">
        <f>E54*G54</f>
        <v>0</v>
      </c>
      <c r="BI54" s="19"/>
      <c r="BJ54" s="19">
        <v>18</v>
      </c>
      <c r="BU54" s="19">
        <v>21</v>
      </c>
    </row>
    <row r="55" spans="1:9" ht="15" customHeight="1">
      <c r="A55" s="3"/>
      <c r="C55" s="4" t="s">
        <v>86</v>
      </c>
      <c r="D55" s="4" t="s">
        <v>145</v>
      </c>
      <c r="E55" s="2">
        <v>15.000000000000002</v>
      </c>
      <c r="I55" s="46"/>
    </row>
    <row r="56" spans="1:9" ht="15" customHeight="1">
      <c r="A56" s="3"/>
      <c r="C56" s="4" t="s">
        <v>86</v>
      </c>
      <c r="D56" s="4" t="s">
        <v>10</v>
      </c>
      <c r="E56" s="2">
        <v>15.000000000000002</v>
      </c>
      <c r="I56" s="46"/>
    </row>
    <row r="57" spans="1:73" ht="13.5" customHeight="1">
      <c r="A57" s="6" t="s">
        <v>18</v>
      </c>
      <c r="B57" s="14" t="s">
        <v>93</v>
      </c>
      <c r="C57" s="106" t="s">
        <v>237</v>
      </c>
      <c r="D57" s="107"/>
      <c r="E57" s="19">
        <v>15</v>
      </c>
      <c r="F57" s="25" t="s">
        <v>52</v>
      </c>
      <c r="G57" s="156">
        <v>0</v>
      </c>
      <c r="H57" s="40">
        <f>ROUND(E57*G57,2)</f>
        <v>0</v>
      </c>
      <c r="I57" s="45" t="s">
        <v>101</v>
      </c>
      <c r="X57" s="19">
        <f>IF(AO57="5",BH57,0)</f>
        <v>0</v>
      </c>
      <c r="Z57" s="19">
        <f>IF(AO57="1",BF57,0)</f>
        <v>0</v>
      </c>
      <c r="AA57" s="19">
        <f>IF(AO57="1",BG57,0)</f>
        <v>0</v>
      </c>
      <c r="AB57" s="19">
        <f>IF(AO57="7",BF57,0)</f>
        <v>0</v>
      </c>
      <c r="AC57" s="19">
        <f>IF(AO57="7",BG57,0)</f>
        <v>0</v>
      </c>
      <c r="AD57" s="19">
        <f>IF(AO57="2",BF57,0)</f>
        <v>0</v>
      </c>
      <c r="AE57" s="19">
        <f>IF(AO57="2",BG57,0)</f>
        <v>0</v>
      </c>
      <c r="AF57" s="19">
        <f>IF(AO57="0",BH57,0)</f>
        <v>0</v>
      </c>
      <c r="AG57" s="9" t="s">
        <v>0</v>
      </c>
      <c r="AH57" s="19">
        <f>IF(AL57=0,H57,0)</f>
        <v>0</v>
      </c>
      <c r="AI57" s="19">
        <f>IF(AL57=15,H57,0)</f>
        <v>0</v>
      </c>
      <c r="AJ57" s="19">
        <f>IF(AL57=21,H57,0)</f>
        <v>0</v>
      </c>
      <c r="AL57" s="19">
        <v>21</v>
      </c>
      <c r="AM57" s="19">
        <f>G57*1</f>
        <v>0</v>
      </c>
      <c r="AN57" s="19">
        <f>G57*(1-1)</f>
        <v>0</v>
      </c>
      <c r="AO57" s="10" t="s">
        <v>238</v>
      </c>
      <c r="AT57" s="19">
        <f>AU57+AV57</f>
        <v>0</v>
      </c>
      <c r="AU57" s="19">
        <f>E57*AM57</f>
        <v>0</v>
      </c>
      <c r="AV57" s="19">
        <f>E57*AN57</f>
        <v>0</v>
      </c>
      <c r="AW57" s="10" t="s">
        <v>111</v>
      </c>
      <c r="AX57" s="10" t="s">
        <v>71</v>
      </c>
      <c r="AY57" s="9" t="s">
        <v>209</v>
      </c>
      <c r="BA57" s="19">
        <f>AU57+AV57</f>
        <v>0</v>
      </c>
      <c r="BB57" s="19">
        <f>G57/(100-BC57)*100</f>
        <v>0</v>
      </c>
      <c r="BC57" s="19">
        <v>0</v>
      </c>
      <c r="BD57" s="19">
        <f>55</f>
        <v>55</v>
      </c>
      <c r="BF57" s="19">
        <f>E57*AM57</f>
        <v>0</v>
      </c>
      <c r="BG57" s="19">
        <f>E57*AN57</f>
        <v>0</v>
      </c>
      <c r="BH57" s="19">
        <f>E57*G57</f>
        <v>0</v>
      </c>
      <c r="BI57" s="19"/>
      <c r="BJ57" s="19">
        <v>18</v>
      </c>
      <c r="BU57" s="19">
        <v>21</v>
      </c>
    </row>
    <row r="58" spans="1:9" ht="13.5" customHeight="1">
      <c r="A58" s="3"/>
      <c r="B58" s="1" t="s">
        <v>79</v>
      </c>
      <c r="C58" s="84" t="s">
        <v>194</v>
      </c>
      <c r="D58" s="84"/>
      <c r="E58" s="84"/>
      <c r="F58" s="84"/>
      <c r="G58" s="84"/>
      <c r="H58" s="84"/>
      <c r="I58" s="85"/>
    </row>
    <row r="59" spans="1:73" ht="13.5" customHeight="1">
      <c r="A59" s="6" t="s">
        <v>163</v>
      </c>
      <c r="B59" s="14" t="s">
        <v>21</v>
      </c>
      <c r="C59" s="106" t="s">
        <v>170</v>
      </c>
      <c r="D59" s="107"/>
      <c r="E59" s="19">
        <v>15</v>
      </c>
      <c r="F59" s="25" t="s">
        <v>52</v>
      </c>
      <c r="G59" s="156">
        <v>0</v>
      </c>
      <c r="H59" s="40">
        <f>ROUND(E59*G59,2)</f>
        <v>0</v>
      </c>
      <c r="I59" s="45" t="s">
        <v>101</v>
      </c>
      <c r="X59" s="19">
        <f>IF(AO59="5",BH59,0)</f>
        <v>0</v>
      </c>
      <c r="Z59" s="19">
        <f>IF(AO59="1",BF59,0)</f>
        <v>0</v>
      </c>
      <c r="AA59" s="19">
        <f>IF(AO59="1",BG59,0)</f>
        <v>0</v>
      </c>
      <c r="AB59" s="19">
        <f>IF(AO59="7",BF59,0)</f>
        <v>0</v>
      </c>
      <c r="AC59" s="19">
        <f>IF(AO59="7",BG59,0)</f>
        <v>0</v>
      </c>
      <c r="AD59" s="19">
        <f>IF(AO59="2",BF59,0)</f>
        <v>0</v>
      </c>
      <c r="AE59" s="19">
        <f>IF(AO59="2",BG59,0)</f>
        <v>0</v>
      </c>
      <c r="AF59" s="19">
        <f>IF(AO59="0",BH59,0)</f>
        <v>0</v>
      </c>
      <c r="AG59" s="9" t="s">
        <v>0</v>
      </c>
      <c r="AH59" s="19">
        <f>IF(AL59=0,H59,0)</f>
        <v>0</v>
      </c>
      <c r="AI59" s="19">
        <f>IF(AL59=15,H59,0)</f>
        <v>0</v>
      </c>
      <c r="AJ59" s="19">
        <f>IF(AL59=21,H59,0)</f>
        <v>0</v>
      </c>
      <c r="AL59" s="19">
        <v>21</v>
      </c>
      <c r="AM59" s="19">
        <f>G59*1</f>
        <v>0</v>
      </c>
      <c r="AN59" s="19">
        <f>G59*(1-1)</f>
        <v>0</v>
      </c>
      <c r="AO59" s="10" t="s">
        <v>238</v>
      </c>
      <c r="AT59" s="19">
        <f>AU59+AV59</f>
        <v>0</v>
      </c>
      <c r="AU59" s="19">
        <f>E59*AM59</f>
        <v>0</v>
      </c>
      <c r="AV59" s="19">
        <f>E59*AN59</f>
        <v>0</v>
      </c>
      <c r="AW59" s="10" t="s">
        <v>111</v>
      </c>
      <c r="AX59" s="10" t="s">
        <v>71</v>
      </c>
      <c r="AY59" s="9" t="s">
        <v>209</v>
      </c>
      <c r="BA59" s="19">
        <f>AU59+AV59</f>
        <v>0</v>
      </c>
      <c r="BB59" s="19">
        <f>G59/(100-BC59)*100</f>
        <v>0</v>
      </c>
      <c r="BC59" s="19">
        <v>0</v>
      </c>
      <c r="BD59" s="19">
        <f>57</f>
        <v>57</v>
      </c>
      <c r="BF59" s="19">
        <f>E59*AM59</f>
        <v>0</v>
      </c>
      <c r="BG59" s="19">
        <f>E59*AN59</f>
        <v>0</v>
      </c>
      <c r="BH59" s="19">
        <f>E59*G59</f>
        <v>0</v>
      </c>
      <c r="BI59" s="19"/>
      <c r="BJ59" s="19">
        <v>18</v>
      </c>
      <c r="BU59" s="19">
        <v>21</v>
      </c>
    </row>
    <row r="60" spans="1:9" ht="13.5" customHeight="1">
      <c r="A60" s="3"/>
      <c r="B60" s="1" t="s">
        <v>79</v>
      </c>
      <c r="C60" s="84" t="s">
        <v>7</v>
      </c>
      <c r="D60" s="84"/>
      <c r="E60" s="84"/>
      <c r="F60" s="84"/>
      <c r="G60" s="84"/>
      <c r="H60" s="84"/>
      <c r="I60" s="85"/>
    </row>
    <row r="61" spans="1:73" ht="13.5" customHeight="1">
      <c r="A61" s="6" t="s">
        <v>186</v>
      </c>
      <c r="B61" s="14" t="s">
        <v>216</v>
      </c>
      <c r="C61" s="106" t="s">
        <v>135</v>
      </c>
      <c r="D61" s="107"/>
      <c r="E61" s="19">
        <v>3</v>
      </c>
      <c r="F61" s="25" t="s">
        <v>225</v>
      </c>
      <c r="G61" s="156">
        <v>0</v>
      </c>
      <c r="H61" s="40">
        <f>ROUND(E61*G61,2)</f>
        <v>0</v>
      </c>
      <c r="I61" s="45" t="s">
        <v>101</v>
      </c>
      <c r="X61" s="19">
        <f>IF(AO61="5",BH61,0)</f>
        <v>0</v>
      </c>
      <c r="Z61" s="19">
        <f>IF(AO61="1",BF61,0)</f>
        <v>0</v>
      </c>
      <c r="AA61" s="19">
        <f>IF(AO61="1",BG61,0)</f>
        <v>0</v>
      </c>
      <c r="AB61" s="19">
        <f>IF(AO61="7",BF61,0)</f>
        <v>0</v>
      </c>
      <c r="AC61" s="19">
        <f>IF(AO61="7",BG61,0)</f>
        <v>0</v>
      </c>
      <c r="AD61" s="19">
        <f>IF(AO61="2",BF61,0)</f>
        <v>0</v>
      </c>
      <c r="AE61" s="19">
        <f>IF(AO61="2",BG61,0)</f>
        <v>0</v>
      </c>
      <c r="AF61" s="19">
        <f>IF(AO61="0",BH61,0)</f>
        <v>0</v>
      </c>
      <c r="AG61" s="9" t="s">
        <v>0</v>
      </c>
      <c r="AH61" s="19">
        <f>IF(AL61=0,H61,0)</f>
        <v>0</v>
      </c>
      <c r="AI61" s="19">
        <f>IF(AL61=15,H61,0)</f>
        <v>0</v>
      </c>
      <c r="AJ61" s="19">
        <f>IF(AL61=21,H61,0)</f>
        <v>0</v>
      </c>
      <c r="AL61" s="19">
        <v>21</v>
      </c>
      <c r="AM61" s="19">
        <f>G61*1</f>
        <v>0</v>
      </c>
      <c r="AN61" s="19">
        <f>G61*(1-1)</f>
        <v>0</v>
      </c>
      <c r="AO61" s="10" t="s">
        <v>238</v>
      </c>
      <c r="AT61" s="19">
        <f>AU61+AV61</f>
        <v>0</v>
      </c>
      <c r="AU61" s="19">
        <f>E61*AM61</f>
        <v>0</v>
      </c>
      <c r="AV61" s="19">
        <f>E61*AN61</f>
        <v>0</v>
      </c>
      <c r="AW61" s="10" t="s">
        <v>111</v>
      </c>
      <c r="AX61" s="10" t="s">
        <v>71</v>
      </c>
      <c r="AY61" s="9" t="s">
        <v>209</v>
      </c>
      <c r="BA61" s="19">
        <f>AU61+AV61</f>
        <v>0</v>
      </c>
      <c r="BB61" s="19">
        <f>G61/(100-BC61)*100</f>
        <v>0</v>
      </c>
      <c r="BC61" s="19">
        <v>0</v>
      </c>
      <c r="BD61" s="19">
        <f>59</f>
        <v>59</v>
      </c>
      <c r="BF61" s="19">
        <f>E61*AM61</f>
        <v>0</v>
      </c>
      <c r="BG61" s="19">
        <f>E61*AN61</f>
        <v>0</v>
      </c>
      <c r="BH61" s="19">
        <f>E61*G61</f>
        <v>0</v>
      </c>
      <c r="BI61" s="19"/>
      <c r="BJ61" s="19">
        <v>18</v>
      </c>
      <c r="BU61" s="19">
        <v>21</v>
      </c>
    </row>
    <row r="62" spans="1:9" ht="15" customHeight="1">
      <c r="A62" s="3"/>
      <c r="C62" s="4" t="s">
        <v>267</v>
      </c>
      <c r="D62" s="4" t="s">
        <v>162</v>
      </c>
      <c r="E62" s="2">
        <v>3.0000000000000004</v>
      </c>
      <c r="I62" s="46"/>
    </row>
    <row r="63" spans="1:9" ht="39" customHeight="1">
      <c r="A63" s="3"/>
      <c r="B63" s="1" t="s">
        <v>79</v>
      </c>
      <c r="C63" s="108" t="s">
        <v>166</v>
      </c>
      <c r="D63" s="108"/>
      <c r="E63" s="108"/>
      <c r="F63" s="108"/>
      <c r="G63" s="84"/>
      <c r="H63" s="84"/>
      <c r="I63" s="85"/>
    </row>
    <row r="64" spans="1:73" ht="13.5" customHeight="1">
      <c r="A64" s="6" t="s">
        <v>146</v>
      </c>
      <c r="B64" s="14" t="s">
        <v>155</v>
      </c>
      <c r="C64" s="106" t="s">
        <v>204</v>
      </c>
      <c r="D64" s="107"/>
      <c r="E64" s="19">
        <v>10</v>
      </c>
      <c r="F64" s="25" t="s">
        <v>52</v>
      </c>
      <c r="G64" s="156">
        <v>0</v>
      </c>
      <c r="H64" s="40">
        <f>ROUND(E64*G64,2)</f>
        <v>0</v>
      </c>
      <c r="I64" s="45" t="s">
        <v>101</v>
      </c>
      <c r="X64" s="19">
        <f>IF(AO64="5",BH64,0)</f>
        <v>0</v>
      </c>
      <c r="Z64" s="19">
        <f>IF(AO64="1",BF64,0)</f>
        <v>0</v>
      </c>
      <c r="AA64" s="19">
        <f>IF(AO64="1",BG64,0)</f>
        <v>0</v>
      </c>
      <c r="AB64" s="19">
        <f>IF(AO64="7",BF64,0)</f>
        <v>0</v>
      </c>
      <c r="AC64" s="19">
        <f>IF(AO64="7",BG64,0)</f>
        <v>0</v>
      </c>
      <c r="AD64" s="19">
        <f>IF(AO64="2",BF64,0)</f>
        <v>0</v>
      </c>
      <c r="AE64" s="19">
        <f>IF(AO64="2",BG64,0)</f>
        <v>0</v>
      </c>
      <c r="AF64" s="19">
        <f>IF(AO64="0",BH64,0)</f>
        <v>0</v>
      </c>
      <c r="AG64" s="9" t="s">
        <v>0</v>
      </c>
      <c r="AH64" s="19">
        <f>IF(AL64=0,H64,0)</f>
        <v>0</v>
      </c>
      <c r="AI64" s="19">
        <f>IF(AL64=15,H64,0)</f>
        <v>0</v>
      </c>
      <c r="AJ64" s="19">
        <f>IF(AL64=21,H64,0)</f>
        <v>0</v>
      </c>
      <c r="AL64" s="19">
        <v>21</v>
      </c>
      <c r="AM64" s="19">
        <f>G64*0</f>
        <v>0</v>
      </c>
      <c r="AN64" s="19">
        <f>G64*(1-0)</f>
        <v>0</v>
      </c>
      <c r="AO64" s="10" t="s">
        <v>238</v>
      </c>
      <c r="AT64" s="19">
        <f>AU64+AV64</f>
        <v>0</v>
      </c>
      <c r="AU64" s="19">
        <f>E64*AM64</f>
        <v>0</v>
      </c>
      <c r="AV64" s="19">
        <f>E64*AN64</f>
        <v>0</v>
      </c>
      <c r="AW64" s="10" t="s">
        <v>111</v>
      </c>
      <c r="AX64" s="10" t="s">
        <v>71</v>
      </c>
      <c r="AY64" s="9" t="s">
        <v>209</v>
      </c>
      <c r="BA64" s="19">
        <f>AU64+AV64</f>
        <v>0</v>
      </c>
      <c r="BB64" s="19">
        <f>G64/(100-BC64)*100</f>
        <v>0</v>
      </c>
      <c r="BC64" s="19">
        <v>0</v>
      </c>
      <c r="BD64" s="19">
        <f>62</f>
        <v>62</v>
      </c>
      <c r="BF64" s="19">
        <f>E64*AM64</f>
        <v>0</v>
      </c>
      <c r="BG64" s="19">
        <f>E64*AN64</f>
        <v>0</v>
      </c>
      <c r="BH64" s="19">
        <f>E64*G64</f>
        <v>0</v>
      </c>
      <c r="BI64" s="19"/>
      <c r="BJ64" s="19">
        <v>18</v>
      </c>
      <c r="BU64" s="19">
        <v>21</v>
      </c>
    </row>
    <row r="65" spans="1:9" ht="15" customHeight="1">
      <c r="A65" s="3"/>
      <c r="C65" s="4" t="s">
        <v>131</v>
      </c>
      <c r="D65" s="4" t="s">
        <v>246</v>
      </c>
      <c r="E65" s="2">
        <v>10</v>
      </c>
      <c r="I65" s="46"/>
    </row>
    <row r="66" spans="1:73" ht="13.5" customHeight="1">
      <c r="A66" s="6" t="s">
        <v>11</v>
      </c>
      <c r="B66" s="14" t="s">
        <v>58</v>
      </c>
      <c r="C66" s="106" t="s">
        <v>94</v>
      </c>
      <c r="D66" s="107"/>
      <c r="E66" s="19">
        <v>10</v>
      </c>
      <c r="F66" s="25" t="s">
        <v>52</v>
      </c>
      <c r="G66" s="156">
        <v>0</v>
      </c>
      <c r="H66" s="40">
        <f>ROUND(E66*G66,2)</f>
        <v>0</v>
      </c>
      <c r="I66" s="45" t="s">
        <v>101</v>
      </c>
      <c r="X66" s="19">
        <f>IF(AO66="5",BH66,0)</f>
        <v>0</v>
      </c>
      <c r="Z66" s="19">
        <f>IF(AO66="1",BF66,0)</f>
        <v>0</v>
      </c>
      <c r="AA66" s="19">
        <f>IF(AO66="1",BG66,0)</f>
        <v>0</v>
      </c>
      <c r="AB66" s="19">
        <f>IF(AO66="7",BF66,0)</f>
        <v>0</v>
      </c>
      <c r="AC66" s="19">
        <f>IF(AO66="7",BG66,0)</f>
        <v>0</v>
      </c>
      <c r="AD66" s="19">
        <f>IF(AO66="2",BF66,0)</f>
        <v>0</v>
      </c>
      <c r="AE66" s="19">
        <f>IF(AO66="2",BG66,0)</f>
        <v>0</v>
      </c>
      <c r="AF66" s="19">
        <f>IF(AO66="0",BH66,0)</f>
        <v>0</v>
      </c>
      <c r="AG66" s="9" t="s">
        <v>0</v>
      </c>
      <c r="AH66" s="19">
        <f>IF(AL66=0,H66,0)</f>
        <v>0</v>
      </c>
      <c r="AI66" s="19">
        <f>IF(AL66=15,H66,0)</f>
        <v>0</v>
      </c>
      <c r="AJ66" s="19">
        <f>IF(AL66=21,H66,0)</f>
        <v>0</v>
      </c>
      <c r="AL66" s="19">
        <v>21</v>
      </c>
      <c r="AM66" s="19">
        <f>G66*0.00330578512396694</f>
        <v>0</v>
      </c>
      <c r="AN66" s="19">
        <f>G66*(1-0.00330578512396694)</f>
        <v>0</v>
      </c>
      <c r="AO66" s="10" t="s">
        <v>238</v>
      </c>
      <c r="AT66" s="19">
        <f>AU66+AV66</f>
        <v>0</v>
      </c>
      <c r="AU66" s="19">
        <f>E66*AM66</f>
        <v>0</v>
      </c>
      <c r="AV66" s="19">
        <f>E66*AN66</f>
        <v>0</v>
      </c>
      <c r="AW66" s="10" t="s">
        <v>111</v>
      </c>
      <c r="AX66" s="10" t="s">
        <v>71</v>
      </c>
      <c r="AY66" s="9" t="s">
        <v>209</v>
      </c>
      <c r="BA66" s="19">
        <f>AU66+AV66</f>
        <v>0</v>
      </c>
      <c r="BB66" s="19">
        <f>G66/(100-BC66)*100</f>
        <v>0</v>
      </c>
      <c r="BC66" s="19">
        <v>0</v>
      </c>
      <c r="BD66" s="19">
        <f>64</f>
        <v>64</v>
      </c>
      <c r="BF66" s="19">
        <f>E66*AM66</f>
        <v>0</v>
      </c>
      <c r="BG66" s="19">
        <f>E66*AN66</f>
        <v>0</v>
      </c>
      <c r="BH66" s="19">
        <f>E66*G66</f>
        <v>0</v>
      </c>
      <c r="BI66" s="19"/>
      <c r="BJ66" s="19">
        <v>18</v>
      </c>
      <c r="BU66" s="19">
        <v>21</v>
      </c>
    </row>
    <row r="67" spans="1:9" ht="15" customHeight="1">
      <c r="A67" s="3"/>
      <c r="C67" s="4" t="s">
        <v>131</v>
      </c>
      <c r="D67" s="4" t="s">
        <v>222</v>
      </c>
      <c r="E67" s="2">
        <v>10</v>
      </c>
      <c r="I67" s="46"/>
    </row>
    <row r="68" spans="1:73" ht="13.5" customHeight="1">
      <c r="A68" s="6" t="s">
        <v>167</v>
      </c>
      <c r="B68" s="14" t="s">
        <v>150</v>
      </c>
      <c r="C68" s="106" t="s">
        <v>171</v>
      </c>
      <c r="D68" s="107"/>
      <c r="E68" s="19">
        <v>10</v>
      </c>
      <c r="F68" s="25" t="s">
        <v>52</v>
      </c>
      <c r="G68" s="156">
        <v>0</v>
      </c>
      <c r="H68" s="40">
        <f>ROUND(E68*G68,2)</f>
        <v>0</v>
      </c>
      <c r="I68" s="45" t="s">
        <v>101</v>
      </c>
      <c r="X68" s="19">
        <f>IF(AO68="5",BH68,0)</f>
        <v>0</v>
      </c>
      <c r="Z68" s="19">
        <f>IF(AO68="1",BF68,0)</f>
        <v>0</v>
      </c>
      <c r="AA68" s="19">
        <f>IF(AO68="1",BG68,0)</f>
        <v>0</v>
      </c>
      <c r="AB68" s="19">
        <f>IF(AO68="7",BF68,0)</f>
        <v>0</v>
      </c>
      <c r="AC68" s="19">
        <f>IF(AO68="7",BG68,0)</f>
        <v>0</v>
      </c>
      <c r="AD68" s="19">
        <f>IF(AO68="2",BF68,0)</f>
        <v>0</v>
      </c>
      <c r="AE68" s="19">
        <f>IF(AO68="2",BG68,0)</f>
        <v>0</v>
      </c>
      <c r="AF68" s="19">
        <f>IF(AO68="0",BH68,0)</f>
        <v>0</v>
      </c>
      <c r="AG68" s="9" t="s">
        <v>0</v>
      </c>
      <c r="AH68" s="19">
        <f>IF(AL68=0,H68,0)</f>
        <v>0</v>
      </c>
      <c r="AI68" s="19">
        <f>IF(AL68=15,H68,0)</f>
        <v>0</v>
      </c>
      <c r="AJ68" s="19">
        <f>IF(AL68=21,H68,0)</f>
        <v>0</v>
      </c>
      <c r="AL68" s="19">
        <v>21</v>
      </c>
      <c r="AM68" s="19">
        <f>G68*1</f>
        <v>0</v>
      </c>
      <c r="AN68" s="19">
        <f>G68*(1-1)</f>
        <v>0</v>
      </c>
      <c r="AO68" s="10" t="s">
        <v>238</v>
      </c>
      <c r="AT68" s="19">
        <f>AU68+AV68</f>
        <v>0</v>
      </c>
      <c r="AU68" s="19">
        <f>E68*AM68</f>
        <v>0</v>
      </c>
      <c r="AV68" s="19">
        <f>E68*AN68</f>
        <v>0</v>
      </c>
      <c r="AW68" s="10" t="s">
        <v>111</v>
      </c>
      <c r="AX68" s="10" t="s">
        <v>71</v>
      </c>
      <c r="AY68" s="9" t="s">
        <v>209</v>
      </c>
      <c r="BA68" s="19">
        <f>AU68+AV68</f>
        <v>0</v>
      </c>
      <c r="BB68" s="19">
        <f>G68/(100-BC68)*100</f>
        <v>0</v>
      </c>
      <c r="BC68" s="19">
        <v>0</v>
      </c>
      <c r="BD68" s="19">
        <f>66</f>
        <v>66</v>
      </c>
      <c r="BF68" s="19">
        <f>E68*AM68</f>
        <v>0</v>
      </c>
      <c r="BG68" s="19">
        <f>E68*AN68</f>
        <v>0</v>
      </c>
      <c r="BH68" s="19">
        <f>E68*G68</f>
        <v>0</v>
      </c>
      <c r="BI68" s="19"/>
      <c r="BJ68" s="19">
        <v>18</v>
      </c>
      <c r="BU68" s="19">
        <v>21</v>
      </c>
    </row>
    <row r="69" spans="1:9" ht="13.5" customHeight="1">
      <c r="A69" s="3"/>
      <c r="B69" s="1" t="s">
        <v>79</v>
      </c>
      <c r="C69" s="84" t="s">
        <v>78</v>
      </c>
      <c r="D69" s="84"/>
      <c r="E69" s="84"/>
      <c r="F69" s="84"/>
      <c r="G69" s="84"/>
      <c r="H69" s="84"/>
      <c r="I69" s="84"/>
    </row>
    <row r="70" spans="1:73" ht="13.5" customHeight="1">
      <c r="A70" s="6" t="s">
        <v>227</v>
      </c>
      <c r="B70" s="14" t="s">
        <v>216</v>
      </c>
      <c r="C70" s="106" t="s">
        <v>135</v>
      </c>
      <c r="D70" s="107"/>
      <c r="E70" s="19">
        <v>0.5</v>
      </c>
      <c r="F70" s="25" t="s">
        <v>225</v>
      </c>
      <c r="G70" s="156">
        <v>0</v>
      </c>
      <c r="H70" s="40">
        <f>ROUND(E70*G70,2)</f>
        <v>0</v>
      </c>
      <c r="I70" s="45" t="s">
        <v>101</v>
      </c>
      <c r="X70" s="19">
        <f>IF(AO70="5",BH70,0)</f>
        <v>0</v>
      </c>
      <c r="Z70" s="19">
        <f>IF(AO70="1",BF70,0)</f>
        <v>0</v>
      </c>
      <c r="AA70" s="19">
        <f>IF(AO70="1",BG70,0)</f>
        <v>0</v>
      </c>
      <c r="AB70" s="19">
        <f>IF(AO70="7",BF70,0)</f>
        <v>0</v>
      </c>
      <c r="AC70" s="19">
        <f>IF(AO70="7",BG70,0)</f>
        <v>0</v>
      </c>
      <c r="AD70" s="19">
        <f>IF(AO70="2",BF70,0)</f>
        <v>0</v>
      </c>
      <c r="AE70" s="19">
        <f>IF(AO70="2",BG70,0)</f>
        <v>0</v>
      </c>
      <c r="AF70" s="19">
        <f>IF(AO70="0",BH70,0)</f>
        <v>0</v>
      </c>
      <c r="AG70" s="9" t="s">
        <v>0</v>
      </c>
      <c r="AH70" s="19">
        <f>IF(AL70=0,H70,0)</f>
        <v>0</v>
      </c>
      <c r="AI70" s="19">
        <f>IF(AL70=15,H70,0)</f>
        <v>0</v>
      </c>
      <c r="AJ70" s="19">
        <f>IF(AL70=21,H70,0)</f>
        <v>0</v>
      </c>
      <c r="AL70" s="19">
        <v>21</v>
      </c>
      <c r="AM70" s="19">
        <f>G70*1</f>
        <v>0</v>
      </c>
      <c r="AN70" s="19">
        <f>G70*(1-1)</f>
        <v>0</v>
      </c>
      <c r="AO70" s="10" t="s">
        <v>238</v>
      </c>
      <c r="AT70" s="19">
        <f>AU70+AV70</f>
        <v>0</v>
      </c>
      <c r="AU70" s="19">
        <f>E70*AM70</f>
        <v>0</v>
      </c>
      <c r="AV70" s="19">
        <f>E70*AN70</f>
        <v>0</v>
      </c>
      <c r="AW70" s="10" t="s">
        <v>111</v>
      </c>
      <c r="AX70" s="10" t="s">
        <v>71</v>
      </c>
      <c r="AY70" s="9" t="s">
        <v>209</v>
      </c>
      <c r="BA70" s="19">
        <f>AU70+AV70</f>
        <v>0</v>
      </c>
      <c r="BB70" s="19">
        <f>G70/(100-BC70)*100</f>
        <v>0</v>
      </c>
      <c r="BC70" s="19">
        <v>0</v>
      </c>
      <c r="BD70" s="19">
        <f>68</f>
        <v>68</v>
      </c>
      <c r="BF70" s="19">
        <f>E70*AM70</f>
        <v>0</v>
      </c>
      <c r="BG70" s="19">
        <f>E70*AN70</f>
        <v>0</v>
      </c>
      <c r="BH70" s="19">
        <f>E70*G70</f>
        <v>0</v>
      </c>
      <c r="BI70" s="19"/>
      <c r="BJ70" s="19">
        <v>18</v>
      </c>
      <c r="BU70" s="19">
        <v>21</v>
      </c>
    </row>
    <row r="71" spans="1:9" ht="15" customHeight="1">
      <c r="A71" s="3"/>
      <c r="C71" s="4" t="s">
        <v>30</v>
      </c>
      <c r="D71" s="4" t="s">
        <v>162</v>
      </c>
      <c r="E71" s="2">
        <v>0.5</v>
      </c>
      <c r="I71" s="46"/>
    </row>
    <row r="72" spans="1:73" ht="13.5" customHeight="1">
      <c r="A72" s="6" t="s">
        <v>100</v>
      </c>
      <c r="B72" s="14" t="s">
        <v>122</v>
      </c>
      <c r="C72" s="106" t="s">
        <v>96</v>
      </c>
      <c r="D72" s="107"/>
      <c r="E72" s="19">
        <v>80</v>
      </c>
      <c r="F72" s="25" t="s">
        <v>52</v>
      </c>
      <c r="G72" s="156">
        <v>0</v>
      </c>
      <c r="H72" s="40">
        <f>ROUND(E72*G72,2)</f>
        <v>0</v>
      </c>
      <c r="I72" s="45" t="s">
        <v>101</v>
      </c>
      <c r="X72" s="19">
        <f>IF(AO72="5",BH72,0)</f>
        <v>0</v>
      </c>
      <c r="Z72" s="19">
        <f>IF(AO72="1",BF72,0)</f>
        <v>0</v>
      </c>
      <c r="AA72" s="19">
        <f>IF(AO72="1",BG72,0)</f>
        <v>0</v>
      </c>
      <c r="AB72" s="19">
        <f>IF(AO72="7",BF72,0)</f>
        <v>0</v>
      </c>
      <c r="AC72" s="19">
        <f>IF(AO72="7",BG72,0)</f>
        <v>0</v>
      </c>
      <c r="AD72" s="19">
        <f>IF(AO72="2",BF72,0)</f>
        <v>0</v>
      </c>
      <c r="AE72" s="19">
        <f>IF(AO72="2",BG72,0)</f>
        <v>0</v>
      </c>
      <c r="AF72" s="19">
        <f>IF(AO72="0",BH72,0)</f>
        <v>0</v>
      </c>
      <c r="AG72" s="9" t="s">
        <v>0</v>
      </c>
      <c r="AH72" s="19">
        <f>IF(AL72=0,H72,0)</f>
        <v>0</v>
      </c>
      <c r="AI72" s="19">
        <f>IF(AL72=15,H72,0)</f>
        <v>0</v>
      </c>
      <c r="AJ72" s="19">
        <f>IF(AL72=21,H72,0)</f>
        <v>0</v>
      </c>
      <c r="AL72" s="19">
        <v>21</v>
      </c>
      <c r="AM72" s="19">
        <f>G72*0.0995180722891566</f>
        <v>0</v>
      </c>
      <c r="AN72" s="19">
        <f>G72*(1-0.0995180722891566)</f>
        <v>0</v>
      </c>
      <c r="AO72" s="10" t="s">
        <v>238</v>
      </c>
      <c r="AT72" s="19">
        <f>AU72+AV72</f>
        <v>0</v>
      </c>
      <c r="AU72" s="19">
        <f>E72*AM72</f>
        <v>0</v>
      </c>
      <c r="AV72" s="19">
        <f>E72*AN72</f>
        <v>0</v>
      </c>
      <c r="AW72" s="10" t="s">
        <v>111</v>
      </c>
      <c r="AX72" s="10" t="s">
        <v>71</v>
      </c>
      <c r="AY72" s="9" t="s">
        <v>209</v>
      </c>
      <c r="BA72" s="19">
        <f>AU72+AV72</f>
        <v>0</v>
      </c>
      <c r="BB72" s="19">
        <f>G72/(100-BC72)*100</f>
        <v>0</v>
      </c>
      <c r="BC72" s="19">
        <v>0</v>
      </c>
      <c r="BD72" s="19">
        <f>70</f>
        <v>70</v>
      </c>
      <c r="BF72" s="19">
        <f>E72*AM72</f>
        <v>0</v>
      </c>
      <c r="BG72" s="19">
        <f>E72*AN72</f>
        <v>0</v>
      </c>
      <c r="BH72" s="19">
        <f>E72*G72</f>
        <v>0</v>
      </c>
      <c r="BI72" s="19"/>
      <c r="BJ72" s="19">
        <v>18</v>
      </c>
      <c r="BU72" s="19">
        <v>21</v>
      </c>
    </row>
    <row r="73" spans="1:9" ht="15" customHeight="1">
      <c r="A73" s="3"/>
      <c r="C73" s="4" t="s">
        <v>148</v>
      </c>
      <c r="D73" s="4" t="s">
        <v>38</v>
      </c>
      <c r="E73" s="2">
        <v>30.000000000000004</v>
      </c>
      <c r="I73" s="46"/>
    </row>
    <row r="74" spans="1:9" ht="15" customHeight="1">
      <c r="A74" s="3"/>
      <c r="C74" s="4" t="s">
        <v>131</v>
      </c>
      <c r="D74" s="4" t="s">
        <v>219</v>
      </c>
      <c r="E74" s="2">
        <v>10</v>
      </c>
      <c r="I74" s="46"/>
    </row>
    <row r="75" spans="1:9" ht="15" customHeight="1">
      <c r="A75" s="3"/>
      <c r="C75" s="4" t="s">
        <v>73</v>
      </c>
      <c r="D75" s="4" t="s">
        <v>129</v>
      </c>
      <c r="E75" s="2">
        <v>40</v>
      </c>
      <c r="I75" s="46"/>
    </row>
    <row r="76" spans="1:73" ht="13.5" customHeight="1">
      <c r="A76" s="6" t="s">
        <v>19</v>
      </c>
      <c r="B76" s="14" t="s">
        <v>250</v>
      </c>
      <c r="C76" s="106" t="s">
        <v>159</v>
      </c>
      <c r="D76" s="107"/>
      <c r="E76" s="19">
        <v>35</v>
      </c>
      <c r="F76" s="25" t="s">
        <v>195</v>
      </c>
      <c r="G76" s="156">
        <v>0</v>
      </c>
      <c r="H76" s="40">
        <f>ROUND(E76*G76,2)</f>
        <v>0</v>
      </c>
      <c r="I76" s="45" t="s">
        <v>101</v>
      </c>
      <c r="X76" s="19">
        <f>IF(AO76="5",BH76,0)</f>
        <v>0</v>
      </c>
      <c r="Z76" s="19">
        <f>IF(AO76="1",BF76,0)</f>
        <v>0</v>
      </c>
      <c r="AA76" s="19">
        <f>IF(AO76="1",BG76,0)</f>
        <v>0</v>
      </c>
      <c r="AB76" s="19">
        <f>IF(AO76="7",BF76,0)</f>
        <v>0</v>
      </c>
      <c r="AC76" s="19">
        <f>IF(AO76="7",BG76,0)</f>
        <v>0</v>
      </c>
      <c r="AD76" s="19">
        <f>IF(AO76="2",BF76,0)</f>
        <v>0</v>
      </c>
      <c r="AE76" s="19">
        <f>IF(AO76="2",BG76,0)</f>
        <v>0</v>
      </c>
      <c r="AF76" s="19">
        <f>IF(AO76="0",BH76,0)</f>
        <v>0</v>
      </c>
      <c r="AG76" s="9" t="s">
        <v>0</v>
      </c>
      <c r="AH76" s="19">
        <f>IF(AL76=0,H76,0)</f>
        <v>0</v>
      </c>
      <c r="AI76" s="19">
        <f>IF(AL76=15,H76,0)</f>
        <v>0</v>
      </c>
      <c r="AJ76" s="19">
        <f>IF(AL76=21,H76,0)</f>
        <v>0</v>
      </c>
      <c r="AL76" s="19">
        <v>21</v>
      </c>
      <c r="AM76" s="19">
        <f>G76*1</f>
        <v>0</v>
      </c>
      <c r="AN76" s="19">
        <f>G76*(1-1)</f>
        <v>0</v>
      </c>
      <c r="AO76" s="10" t="s">
        <v>238</v>
      </c>
      <c r="AT76" s="19">
        <f>AU76+AV76</f>
        <v>0</v>
      </c>
      <c r="AU76" s="19">
        <f>E76*AM76</f>
        <v>0</v>
      </c>
      <c r="AV76" s="19">
        <f>E76*AN76</f>
        <v>0</v>
      </c>
      <c r="AW76" s="10" t="s">
        <v>111</v>
      </c>
      <c r="AX76" s="10" t="s">
        <v>71</v>
      </c>
      <c r="AY76" s="9" t="s">
        <v>209</v>
      </c>
      <c r="BA76" s="19">
        <f>AU76+AV76</f>
        <v>0</v>
      </c>
      <c r="BB76" s="19">
        <f>G76/(100-BC76)*100</f>
        <v>0</v>
      </c>
      <c r="BC76" s="19">
        <v>0</v>
      </c>
      <c r="BD76" s="19">
        <f>74</f>
        <v>74</v>
      </c>
      <c r="BF76" s="19">
        <f>E76*AM76</f>
        <v>0</v>
      </c>
      <c r="BG76" s="19">
        <f>E76*AN76</f>
        <v>0</v>
      </c>
      <c r="BH76" s="19">
        <f>E76*G76</f>
        <v>0</v>
      </c>
      <c r="BI76" s="19"/>
      <c r="BJ76" s="19">
        <v>18</v>
      </c>
      <c r="BU76" s="19">
        <v>21</v>
      </c>
    </row>
    <row r="77" spans="1:9" ht="15" customHeight="1">
      <c r="A77" s="3"/>
      <c r="C77" s="4" t="s">
        <v>83</v>
      </c>
      <c r="D77" s="4" t="s">
        <v>162</v>
      </c>
      <c r="E77" s="2">
        <v>35</v>
      </c>
      <c r="I77" s="46"/>
    </row>
    <row r="78" spans="1:9" ht="13.5" customHeight="1">
      <c r="A78" s="3"/>
      <c r="B78" s="1" t="s">
        <v>79</v>
      </c>
      <c r="C78" s="108" t="s">
        <v>102</v>
      </c>
      <c r="D78" s="109"/>
      <c r="E78" s="109"/>
      <c r="F78" s="109"/>
      <c r="G78" s="109"/>
      <c r="H78" s="109"/>
      <c r="I78" s="110"/>
    </row>
    <row r="79" spans="1:73" ht="13.5" customHeight="1">
      <c r="A79" s="6" t="s">
        <v>51</v>
      </c>
      <c r="B79" s="14" t="s">
        <v>92</v>
      </c>
      <c r="C79" s="106" t="s">
        <v>147</v>
      </c>
      <c r="D79" s="107"/>
      <c r="E79" s="19">
        <v>10</v>
      </c>
      <c r="F79" s="25" t="s">
        <v>52</v>
      </c>
      <c r="G79" s="156">
        <v>0</v>
      </c>
      <c r="H79" s="40">
        <f>ROUND(E79*G79,2)</f>
        <v>0</v>
      </c>
      <c r="I79" s="45" t="s">
        <v>101</v>
      </c>
      <c r="X79" s="19">
        <f>IF(AO79="5",BH79,0)</f>
        <v>0</v>
      </c>
      <c r="Z79" s="19">
        <f>IF(AO79="1",BF79,0)</f>
        <v>0</v>
      </c>
      <c r="AA79" s="19">
        <f>IF(AO79="1",BG79,0)</f>
        <v>0</v>
      </c>
      <c r="AB79" s="19">
        <f>IF(AO79="7",BF79,0)</f>
        <v>0</v>
      </c>
      <c r="AC79" s="19">
        <f>IF(AO79="7",BG79,0)</f>
        <v>0</v>
      </c>
      <c r="AD79" s="19">
        <f>IF(AO79="2",BF79,0)</f>
        <v>0</v>
      </c>
      <c r="AE79" s="19">
        <f>IF(AO79="2",BG79,0)</f>
        <v>0</v>
      </c>
      <c r="AF79" s="19">
        <f>IF(AO79="0",BH79,0)</f>
        <v>0</v>
      </c>
      <c r="AG79" s="9" t="s">
        <v>0</v>
      </c>
      <c r="AH79" s="19">
        <f>IF(AL79=0,H79,0)</f>
        <v>0</v>
      </c>
      <c r="AI79" s="19">
        <f>IF(AL79=15,H79,0)</f>
        <v>0</v>
      </c>
      <c r="AJ79" s="19">
        <f>IF(AL79=21,H79,0)</f>
        <v>0</v>
      </c>
      <c r="AL79" s="19">
        <v>21</v>
      </c>
      <c r="AM79" s="19">
        <f>G79*1</f>
        <v>0</v>
      </c>
      <c r="AN79" s="19">
        <f>G79*(1-1)</f>
        <v>0</v>
      </c>
      <c r="AO79" s="10" t="s">
        <v>238</v>
      </c>
      <c r="AT79" s="19">
        <f>AU79+AV79</f>
        <v>0</v>
      </c>
      <c r="AU79" s="19">
        <f>E79*AM79</f>
        <v>0</v>
      </c>
      <c r="AV79" s="19">
        <f>E79*AN79</f>
        <v>0</v>
      </c>
      <c r="AW79" s="10" t="s">
        <v>111</v>
      </c>
      <c r="AX79" s="10" t="s">
        <v>71</v>
      </c>
      <c r="AY79" s="9" t="s">
        <v>209</v>
      </c>
      <c r="BA79" s="19">
        <f>AU79+AV79</f>
        <v>0</v>
      </c>
      <c r="BB79" s="19">
        <f>G79/(100-BC79)*100</f>
        <v>0</v>
      </c>
      <c r="BC79" s="19">
        <v>0</v>
      </c>
      <c r="BD79" s="19">
        <f>77</f>
        <v>77</v>
      </c>
      <c r="BF79" s="19">
        <f>E79*AM79</f>
        <v>0</v>
      </c>
      <c r="BG79" s="19">
        <f>E79*AN79</f>
        <v>0</v>
      </c>
      <c r="BH79" s="19">
        <f>E79*G79</f>
        <v>0</v>
      </c>
      <c r="BI79" s="19"/>
      <c r="BJ79" s="19">
        <v>18</v>
      </c>
      <c r="BU79" s="19">
        <v>21</v>
      </c>
    </row>
    <row r="80" spans="1:9" ht="15" customHeight="1">
      <c r="A80" s="3"/>
      <c r="C80" s="4" t="s">
        <v>131</v>
      </c>
      <c r="D80" s="4" t="s">
        <v>219</v>
      </c>
      <c r="E80" s="2">
        <v>10</v>
      </c>
      <c r="I80" s="46"/>
    </row>
    <row r="81" spans="1:9" ht="13.5" customHeight="1">
      <c r="A81" s="3"/>
      <c r="B81" s="1" t="s">
        <v>79</v>
      </c>
      <c r="C81" s="84" t="s">
        <v>245</v>
      </c>
      <c r="D81" s="84"/>
      <c r="E81" s="84"/>
      <c r="F81" s="84"/>
      <c r="G81" s="84"/>
      <c r="H81" s="84"/>
      <c r="I81" s="84"/>
    </row>
    <row r="82" spans="1:73" ht="13.5" customHeight="1">
      <c r="A82" s="6" t="s">
        <v>27</v>
      </c>
      <c r="B82" s="14" t="s">
        <v>203</v>
      </c>
      <c r="C82" s="106" t="s">
        <v>89</v>
      </c>
      <c r="D82" s="107"/>
      <c r="E82" s="19">
        <v>70</v>
      </c>
      <c r="F82" s="25" t="s">
        <v>52</v>
      </c>
      <c r="G82" s="156">
        <v>0</v>
      </c>
      <c r="H82" s="40">
        <f>ROUND(E82*G82,2)</f>
        <v>0</v>
      </c>
      <c r="I82" s="45" t="s">
        <v>101</v>
      </c>
      <c r="X82" s="19">
        <f>IF(AO82="5",BH82,0)</f>
        <v>0</v>
      </c>
      <c r="Z82" s="19">
        <f>IF(AO82="1",BF82,0)</f>
        <v>0</v>
      </c>
      <c r="AA82" s="19">
        <f>IF(AO82="1",BG82,0)</f>
        <v>0</v>
      </c>
      <c r="AB82" s="19">
        <f>IF(AO82="7",BF82,0)</f>
        <v>0</v>
      </c>
      <c r="AC82" s="19">
        <f>IF(AO82="7",BG82,0)</f>
        <v>0</v>
      </c>
      <c r="AD82" s="19">
        <f>IF(AO82="2",BF82,0)</f>
        <v>0</v>
      </c>
      <c r="AE82" s="19">
        <f>IF(AO82="2",BG82,0)</f>
        <v>0</v>
      </c>
      <c r="AF82" s="19">
        <f>IF(AO82="0",BH82,0)</f>
        <v>0</v>
      </c>
      <c r="AG82" s="9" t="s">
        <v>0</v>
      </c>
      <c r="AH82" s="19">
        <f>IF(AL82=0,H82,0)</f>
        <v>0</v>
      </c>
      <c r="AI82" s="19">
        <f>IF(AL82=15,H82,0)</f>
        <v>0</v>
      </c>
      <c r="AJ82" s="19">
        <f>IF(AL82=21,H82,0)</f>
        <v>0</v>
      </c>
      <c r="AL82" s="19">
        <v>21</v>
      </c>
      <c r="AM82" s="19">
        <f>G82*1</f>
        <v>0</v>
      </c>
      <c r="AN82" s="19">
        <f>G82*(1-1)</f>
        <v>0</v>
      </c>
      <c r="AO82" s="10" t="s">
        <v>238</v>
      </c>
      <c r="AT82" s="19">
        <f>AU82+AV82</f>
        <v>0</v>
      </c>
      <c r="AU82" s="19">
        <f>E82*AM82</f>
        <v>0</v>
      </c>
      <c r="AV82" s="19">
        <f>E82*AN82</f>
        <v>0</v>
      </c>
      <c r="AW82" s="10" t="s">
        <v>111</v>
      </c>
      <c r="AX82" s="10" t="s">
        <v>71</v>
      </c>
      <c r="AY82" s="9" t="s">
        <v>209</v>
      </c>
      <c r="BA82" s="19">
        <f>AU82+AV82</f>
        <v>0</v>
      </c>
      <c r="BB82" s="19">
        <f>G82/(100-BC82)*100</f>
        <v>0</v>
      </c>
      <c r="BC82" s="19">
        <v>0</v>
      </c>
      <c r="BD82" s="19">
        <f>80</f>
        <v>80</v>
      </c>
      <c r="BF82" s="19">
        <f>E82*AM82</f>
        <v>0</v>
      </c>
      <c r="BG82" s="19">
        <f>E82*AN82</f>
        <v>0</v>
      </c>
      <c r="BH82" s="19">
        <f>E82*G82</f>
        <v>0</v>
      </c>
      <c r="BI82" s="19"/>
      <c r="BJ82" s="19">
        <v>18</v>
      </c>
      <c r="BU82" s="19">
        <v>21</v>
      </c>
    </row>
    <row r="83" spans="1:9" ht="15" customHeight="1">
      <c r="A83" s="3"/>
      <c r="C83" s="4" t="s">
        <v>148</v>
      </c>
      <c r="D83" s="4" t="s">
        <v>236</v>
      </c>
      <c r="E83" s="2">
        <v>30.000000000000004</v>
      </c>
      <c r="I83" s="46"/>
    </row>
    <row r="84" spans="1:9" ht="15" customHeight="1">
      <c r="A84" s="3"/>
      <c r="C84" s="4" t="s">
        <v>73</v>
      </c>
      <c r="D84" s="4" t="s">
        <v>179</v>
      </c>
      <c r="E84" s="2">
        <v>40</v>
      </c>
      <c r="I84" s="46"/>
    </row>
    <row r="85" spans="1:9" ht="13.5" customHeight="1">
      <c r="A85" s="3"/>
      <c r="B85" s="1" t="s">
        <v>79</v>
      </c>
      <c r="C85" s="84" t="s">
        <v>106</v>
      </c>
      <c r="D85" s="84"/>
      <c r="E85" s="84"/>
      <c r="F85" s="84"/>
      <c r="G85" s="84"/>
      <c r="H85" s="84"/>
      <c r="I85" s="84"/>
    </row>
    <row r="86" spans="1:73" ht="13.5" customHeight="1">
      <c r="A86" s="6" t="s">
        <v>233</v>
      </c>
      <c r="B86" s="14" t="s">
        <v>223</v>
      </c>
      <c r="C86" s="111" t="s">
        <v>289</v>
      </c>
      <c r="D86" s="107"/>
      <c r="E86" s="19">
        <v>70</v>
      </c>
      <c r="F86" s="25" t="s">
        <v>52</v>
      </c>
      <c r="G86" s="156">
        <v>0</v>
      </c>
      <c r="H86" s="40">
        <f>ROUND(E86*G86,2)</f>
        <v>0</v>
      </c>
      <c r="I86" s="45" t="s">
        <v>101</v>
      </c>
      <c r="X86" s="19">
        <f>IF(AO86="5",BH86,0)</f>
        <v>0</v>
      </c>
      <c r="Z86" s="19">
        <f>IF(AO86="1",BF86,0)</f>
        <v>0</v>
      </c>
      <c r="AA86" s="19">
        <f>IF(AO86="1",BG86,0)</f>
        <v>0</v>
      </c>
      <c r="AB86" s="19">
        <f>IF(AO86="7",BF86,0)</f>
        <v>0</v>
      </c>
      <c r="AC86" s="19">
        <f>IF(AO86="7",BG86,0)</f>
        <v>0</v>
      </c>
      <c r="AD86" s="19">
        <f>IF(AO86="2",BF86,0)</f>
        <v>0</v>
      </c>
      <c r="AE86" s="19">
        <f>IF(AO86="2",BG86,0)</f>
        <v>0</v>
      </c>
      <c r="AF86" s="19">
        <f>IF(AO86="0",BH86,0)</f>
        <v>0</v>
      </c>
      <c r="AG86" s="9" t="s">
        <v>0</v>
      </c>
      <c r="AH86" s="19">
        <f>IF(AL86=0,H86,0)</f>
        <v>0</v>
      </c>
      <c r="AI86" s="19">
        <f>IF(AL86=15,H86,0)</f>
        <v>0</v>
      </c>
      <c r="AJ86" s="19">
        <f>IF(AL86=21,H86,0)</f>
        <v>0</v>
      </c>
      <c r="AL86" s="19">
        <v>21</v>
      </c>
      <c r="AM86" s="19">
        <f>G86*0.460931899641577</f>
        <v>0</v>
      </c>
      <c r="AN86" s="19">
        <f>G86*(1-0.460931899641577)</f>
        <v>0</v>
      </c>
      <c r="AO86" s="10" t="s">
        <v>238</v>
      </c>
      <c r="AT86" s="19">
        <f>AU86+AV86</f>
        <v>0</v>
      </c>
      <c r="AU86" s="19">
        <f>E86*AM86</f>
        <v>0</v>
      </c>
      <c r="AV86" s="19">
        <f>E86*AN86</f>
        <v>0</v>
      </c>
      <c r="AW86" s="10" t="s">
        <v>111</v>
      </c>
      <c r="AX86" s="10" t="s">
        <v>71</v>
      </c>
      <c r="AY86" s="9" t="s">
        <v>209</v>
      </c>
      <c r="BA86" s="19">
        <f>AU86+AV86</f>
        <v>0</v>
      </c>
      <c r="BB86" s="19">
        <f>G86/(100-BC86)*100</f>
        <v>0</v>
      </c>
      <c r="BC86" s="19">
        <v>0</v>
      </c>
      <c r="BD86" s="19">
        <f>84</f>
        <v>84</v>
      </c>
      <c r="BF86" s="19">
        <f>E86*AM86</f>
        <v>0</v>
      </c>
      <c r="BG86" s="19">
        <f>E86*AN86</f>
        <v>0</v>
      </c>
      <c r="BH86" s="19">
        <f>E86*G86</f>
        <v>0</v>
      </c>
      <c r="BI86" s="19"/>
      <c r="BJ86" s="19">
        <v>18</v>
      </c>
      <c r="BU86" s="19">
        <v>21</v>
      </c>
    </row>
    <row r="87" spans="1:9" ht="15" customHeight="1">
      <c r="A87" s="3"/>
      <c r="C87" s="4" t="s">
        <v>115</v>
      </c>
      <c r="D87" s="4" t="s">
        <v>162</v>
      </c>
      <c r="E87" s="2">
        <v>70</v>
      </c>
      <c r="I87" s="46"/>
    </row>
    <row r="88" spans="1:73" ht="13.5" customHeight="1">
      <c r="A88" s="6" t="s">
        <v>259</v>
      </c>
      <c r="B88" s="14" t="s">
        <v>201</v>
      </c>
      <c r="C88" s="106" t="s">
        <v>241</v>
      </c>
      <c r="D88" s="107"/>
      <c r="E88" s="19">
        <v>134</v>
      </c>
      <c r="F88" s="25" t="s">
        <v>234</v>
      </c>
      <c r="G88" s="156">
        <v>0</v>
      </c>
      <c r="H88" s="40">
        <f>ROUND(E88*G88,2)</f>
        <v>0</v>
      </c>
      <c r="I88" s="45" t="s">
        <v>101</v>
      </c>
      <c r="X88" s="19">
        <f>IF(AO88="5",BH88,0)</f>
        <v>0</v>
      </c>
      <c r="Z88" s="19">
        <f>IF(AO88="1",BF88,0)</f>
        <v>0</v>
      </c>
      <c r="AA88" s="19">
        <f>IF(AO88="1",BG88,0)</f>
        <v>0</v>
      </c>
      <c r="AB88" s="19">
        <f>IF(AO88="7",BF88,0)</f>
        <v>0</v>
      </c>
      <c r="AC88" s="19">
        <f>IF(AO88="7",BG88,0)</f>
        <v>0</v>
      </c>
      <c r="AD88" s="19">
        <f>IF(AO88="2",BF88,0)</f>
        <v>0</v>
      </c>
      <c r="AE88" s="19">
        <f>IF(AO88="2",BG88,0)</f>
        <v>0</v>
      </c>
      <c r="AF88" s="19">
        <f>IF(AO88="0",BH88,0)</f>
        <v>0</v>
      </c>
      <c r="AG88" s="9" t="s">
        <v>0</v>
      </c>
      <c r="AH88" s="19">
        <f>IF(AL88=0,H88,0)</f>
        <v>0</v>
      </c>
      <c r="AI88" s="19">
        <f>IF(AL88=15,H88,0)</f>
        <v>0</v>
      </c>
      <c r="AJ88" s="19">
        <f>IF(AL88=21,H88,0)</f>
        <v>0</v>
      </c>
      <c r="AL88" s="19">
        <v>21</v>
      </c>
      <c r="AM88" s="19">
        <f>G88*0</f>
        <v>0</v>
      </c>
      <c r="AN88" s="19">
        <f>G88*(1-0)</f>
        <v>0</v>
      </c>
      <c r="AO88" s="10" t="s">
        <v>238</v>
      </c>
      <c r="AT88" s="19">
        <f>AU88+AV88</f>
        <v>0</v>
      </c>
      <c r="AU88" s="19">
        <f>E88*AM88</f>
        <v>0</v>
      </c>
      <c r="AV88" s="19">
        <f>E88*AN88</f>
        <v>0</v>
      </c>
      <c r="AW88" s="10" t="s">
        <v>111</v>
      </c>
      <c r="AX88" s="10" t="s">
        <v>71</v>
      </c>
      <c r="AY88" s="9" t="s">
        <v>209</v>
      </c>
      <c r="BA88" s="19">
        <f>AU88+AV88</f>
        <v>0</v>
      </c>
      <c r="BB88" s="19">
        <f>G88/(100-BC88)*100</f>
        <v>0</v>
      </c>
      <c r="BC88" s="19">
        <v>0</v>
      </c>
      <c r="BD88" s="19">
        <f>86</f>
        <v>86</v>
      </c>
      <c r="BF88" s="19">
        <f>E88*AM88</f>
        <v>0</v>
      </c>
      <c r="BG88" s="19">
        <f>E88*AN88</f>
        <v>0</v>
      </c>
      <c r="BH88" s="19">
        <f>E88*G88</f>
        <v>0</v>
      </c>
      <c r="BI88" s="19"/>
      <c r="BJ88" s="19">
        <v>18</v>
      </c>
      <c r="BU88" s="19">
        <v>21</v>
      </c>
    </row>
    <row r="89" spans="1:9" ht="13.5" customHeight="1">
      <c r="A89" s="3"/>
      <c r="B89" s="1" t="s">
        <v>114</v>
      </c>
      <c r="C89" s="31" t="s">
        <v>132</v>
      </c>
      <c r="D89" s="31"/>
      <c r="E89" s="31"/>
      <c r="F89" s="31"/>
      <c r="G89" s="31"/>
      <c r="H89" s="31"/>
      <c r="I89" s="31"/>
    </row>
    <row r="90" spans="1:9" ht="15" customHeight="1">
      <c r="A90" s="3"/>
      <c r="C90" s="4" t="s">
        <v>110</v>
      </c>
      <c r="D90" s="4" t="s">
        <v>38</v>
      </c>
      <c r="E90" s="2">
        <v>15.000000000000002</v>
      </c>
      <c r="I90" s="46"/>
    </row>
    <row r="91" spans="1:9" ht="15" customHeight="1">
      <c r="A91" s="3"/>
      <c r="C91" s="4" t="s">
        <v>208</v>
      </c>
      <c r="D91" s="4" t="s">
        <v>219</v>
      </c>
      <c r="E91" s="2">
        <v>5</v>
      </c>
      <c r="I91" s="46"/>
    </row>
    <row r="92" spans="1:9" ht="15" customHeight="1">
      <c r="A92" s="3"/>
      <c r="C92" s="4" t="s">
        <v>12</v>
      </c>
      <c r="D92" s="4" t="s">
        <v>43</v>
      </c>
      <c r="E92" s="2">
        <v>114.00000000000001</v>
      </c>
      <c r="I92" s="46"/>
    </row>
    <row r="93" spans="1:45" ht="15" customHeight="1">
      <c r="A93" s="20" t="s">
        <v>162</v>
      </c>
      <c r="B93" s="21" t="s">
        <v>188</v>
      </c>
      <c r="C93" s="104" t="s">
        <v>40</v>
      </c>
      <c r="D93" s="105"/>
      <c r="E93" s="8" t="s">
        <v>217</v>
      </c>
      <c r="F93" s="8" t="s">
        <v>217</v>
      </c>
      <c r="G93" s="8" t="s">
        <v>217</v>
      </c>
      <c r="H93" s="39">
        <f>SUM(H94:H101)</f>
        <v>0</v>
      </c>
      <c r="I93" s="44" t="s">
        <v>162</v>
      </c>
      <c r="AG93" s="9" t="s">
        <v>0</v>
      </c>
      <c r="AQ93" s="16">
        <f>SUM(AH94:AH101)</f>
        <v>0</v>
      </c>
      <c r="AR93" s="16">
        <f>SUM(AI94:AI101)</f>
        <v>0</v>
      </c>
      <c r="AS93" s="16">
        <f>SUM(AJ94:AJ101)</f>
        <v>0</v>
      </c>
    </row>
    <row r="94" spans="1:73" ht="13.5" customHeight="1">
      <c r="A94" s="6">
        <v>29</v>
      </c>
      <c r="B94" s="14" t="s">
        <v>220</v>
      </c>
      <c r="C94" s="106" t="s">
        <v>2</v>
      </c>
      <c r="D94" s="107"/>
      <c r="E94" s="19">
        <v>40</v>
      </c>
      <c r="F94" s="25" t="s">
        <v>195</v>
      </c>
      <c r="G94" s="156">
        <v>0</v>
      </c>
      <c r="H94" s="40">
        <f>ROUND(E94*G94,2)</f>
        <v>0</v>
      </c>
      <c r="I94" s="45" t="s">
        <v>101</v>
      </c>
      <c r="X94" s="19">
        <f>IF(AO94="5",BH94,0)</f>
        <v>0</v>
      </c>
      <c r="Z94" s="19">
        <f>IF(AO94="1",BF94,0)</f>
        <v>0</v>
      </c>
      <c r="AA94" s="19">
        <f>IF(AO94="1",BG94,0)</f>
        <v>0</v>
      </c>
      <c r="AB94" s="19">
        <f>IF(AO94="7",BF94,0)</f>
        <v>0</v>
      </c>
      <c r="AC94" s="19">
        <f>IF(AO94="7",BG94,0)</f>
        <v>0</v>
      </c>
      <c r="AD94" s="19">
        <f>IF(AO94="2",BF94,0)</f>
        <v>0</v>
      </c>
      <c r="AE94" s="19">
        <f>IF(AO94="2",BG94,0)</f>
        <v>0</v>
      </c>
      <c r="AF94" s="19">
        <f>IF(AO94="0",BH94,0)</f>
        <v>0</v>
      </c>
      <c r="AG94" s="9" t="s">
        <v>0</v>
      </c>
      <c r="AH94" s="19">
        <f>IF(AL94=0,H94,0)</f>
        <v>0</v>
      </c>
      <c r="AI94" s="19">
        <f>IF(AL94=15,H94,0)</f>
        <v>0</v>
      </c>
      <c r="AJ94" s="19">
        <f>IF(AL94=21,H94,0)</f>
        <v>0</v>
      </c>
      <c r="AL94" s="19">
        <v>21</v>
      </c>
      <c r="AM94" s="19">
        <f>G94*0.0942121212121212</f>
        <v>0</v>
      </c>
      <c r="AN94" s="19">
        <f>G94*(1-0.0942121212121212)</f>
        <v>0</v>
      </c>
      <c r="AO94" s="10" t="s">
        <v>238</v>
      </c>
      <c r="AT94" s="19">
        <f>AU94+AV94</f>
        <v>0</v>
      </c>
      <c r="AU94" s="19">
        <f>E94*AM94</f>
        <v>0</v>
      </c>
      <c r="AV94" s="19">
        <f>E94*AN94</f>
        <v>0</v>
      </c>
      <c r="AW94" s="10" t="s">
        <v>32</v>
      </c>
      <c r="AX94" s="10" t="s">
        <v>108</v>
      </c>
      <c r="AY94" s="9" t="s">
        <v>209</v>
      </c>
      <c r="BA94" s="19">
        <f>AU94+AV94</f>
        <v>0</v>
      </c>
      <c r="BB94" s="19">
        <f>G94/(100-BC94)*100</f>
        <v>0</v>
      </c>
      <c r="BC94" s="19">
        <v>0</v>
      </c>
      <c r="BD94" s="19">
        <f>94</f>
        <v>94</v>
      </c>
      <c r="BF94" s="19">
        <f>E94*AM94</f>
        <v>0</v>
      </c>
      <c r="BG94" s="19">
        <f>E94*AN94</f>
        <v>0</v>
      </c>
      <c r="BH94" s="19">
        <f>E94*G94</f>
        <v>0</v>
      </c>
      <c r="BI94" s="19"/>
      <c r="BJ94" s="19">
        <v>46</v>
      </c>
      <c r="BU94" s="19">
        <v>21</v>
      </c>
    </row>
    <row r="95" spans="1:9" ht="15" customHeight="1">
      <c r="A95" s="3"/>
      <c r="C95" s="4" t="s">
        <v>5</v>
      </c>
      <c r="D95" s="4" t="s">
        <v>265</v>
      </c>
      <c r="E95" s="2">
        <v>30.000000000000004</v>
      </c>
      <c r="I95" s="46"/>
    </row>
    <row r="96" spans="1:9" ht="15" customHeight="1">
      <c r="A96" s="3"/>
      <c r="C96" s="4" t="s">
        <v>190</v>
      </c>
      <c r="D96" s="4" t="s">
        <v>46</v>
      </c>
      <c r="E96" s="2">
        <v>10</v>
      </c>
      <c r="I96" s="46"/>
    </row>
    <row r="97" spans="1:9" ht="51.75" customHeight="1">
      <c r="A97" s="3"/>
      <c r="B97" s="1" t="s">
        <v>79</v>
      </c>
      <c r="C97" s="108" t="s">
        <v>249</v>
      </c>
      <c r="D97" s="108"/>
      <c r="E97" s="108"/>
      <c r="F97" s="108"/>
      <c r="G97" s="84"/>
      <c r="H97" s="84"/>
      <c r="I97" s="85"/>
    </row>
    <row r="98" spans="1:73" ht="13.5" customHeight="1">
      <c r="A98" s="6">
        <v>30</v>
      </c>
      <c r="B98" s="14" t="s">
        <v>130</v>
      </c>
      <c r="C98" s="106" t="s">
        <v>28</v>
      </c>
      <c r="D98" s="107"/>
      <c r="E98" s="19">
        <v>0.45</v>
      </c>
      <c r="F98" s="25" t="s">
        <v>230</v>
      </c>
      <c r="G98" s="156">
        <v>0</v>
      </c>
      <c r="H98" s="40">
        <f>ROUND(E98*G98,2)</f>
        <v>0</v>
      </c>
      <c r="I98" s="45" t="s">
        <v>101</v>
      </c>
      <c r="X98" s="19">
        <f>IF(AO98="5",BH98,0)</f>
        <v>0</v>
      </c>
      <c r="Z98" s="19">
        <f>IF(AO98="1",BF98,0)</f>
        <v>0</v>
      </c>
      <c r="AA98" s="19">
        <f>IF(AO98="1",BG98,0)</f>
        <v>0</v>
      </c>
      <c r="AB98" s="19">
        <f>IF(AO98="7",BF98,0)</f>
        <v>0</v>
      </c>
      <c r="AC98" s="19">
        <f>IF(AO98="7",BG98,0)</f>
        <v>0</v>
      </c>
      <c r="AD98" s="19">
        <f>IF(AO98="2",BF98,0)</f>
        <v>0</v>
      </c>
      <c r="AE98" s="19">
        <f>IF(AO98="2",BG98,0)</f>
        <v>0</v>
      </c>
      <c r="AF98" s="19">
        <f>IF(AO98="0",BH98,0)</f>
        <v>0</v>
      </c>
      <c r="AG98" s="9" t="s">
        <v>0</v>
      </c>
      <c r="AH98" s="19">
        <f>IF(AL98=0,H98,0)</f>
        <v>0</v>
      </c>
      <c r="AI98" s="19">
        <f>IF(AL98=15,H98,0)</f>
        <v>0</v>
      </c>
      <c r="AJ98" s="19">
        <f>IF(AL98=21,H98,0)</f>
        <v>0</v>
      </c>
      <c r="AL98" s="19">
        <v>21</v>
      </c>
      <c r="AM98" s="19">
        <f>G98*1</f>
        <v>0</v>
      </c>
      <c r="AN98" s="19">
        <f>G98*(1-1)</f>
        <v>0</v>
      </c>
      <c r="AO98" s="10" t="s">
        <v>238</v>
      </c>
      <c r="AT98" s="19">
        <f>AU98+AV98</f>
        <v>0</v>
      </c>
      <c r="AU98" s="19">
        <f>E98*AM98</f>
        <v>0</v>
      </c>
      <c r="AV98" s="19">
        <f>E98*AN98</f>
        <v>0</v>
      </c>
      <c r="AW98" s="10" t="s">
        <v>32</v>
      </c>
      <c r="AX98" s="10" t="s">
        <v>108</v>
      </c>
      <c r="AY98" s="9" t="s">
        <v>209</v>
      </c>
      <c r="BA98" s="19">
        <f>AU98+AV98</f>
        <v>0</v>
      </c>
      <c r="BB98" s="19">
        <f>G98/(100-BC98)*100</f>
        <v>0</v>
      </c>
      <c r="BC98" s="19">
        <v>0</v>
      </c>
      <c r="BD98" s="19">
        <f>98</f>
        <v>98</v>
      </c>
      <c r="BF98" s="19">
        <f>E98*AM98</f>
        <v>0</v>
      </c>
      <c r="BG98" s="19">
        <f>E98*AN98</f>
        <v>0</v>
      </c>
      <c r="BH98" s="19">
        <f>E98*G98</f>
        <v>0</v>
      </c>
      <c r="BI98" s="19"/>
      <c r="BJ98" s="19">
        <v>46</v>
      </c>
      <c r="BU98" s="19">
        <v>21</v>
      </c>
    </row>
    <row r="99" spans="1:9" ht="15" customHeight="1">
      <c r="A99" s="3"/>
      <c r="C99" s="4" t="s">
        <v>189</v>
      </c>
      <c r="D99" s="4" t="s">
        <v>3</v>
      </c>
      <c r="E99" s="2">
        <v>0.39</v>
      </c>
      <c r="I99" s="46"/>
    </row>
    <row r="100" spans="1:9" ht="15" customHeight="1">
      <c r="A100" s="3"/>
      <c r="C100" s="4" t="s">
        <v>143</v>
      </c>
      <c r="D100" s="4" t="s">
        <v>162</v>
      </c>
      <c r="E100" s="2">
        <v>0.060000000000000005</v>
      </c>
      <c r="I100" s="46"/>
    </row>
    <row r="101" spans="1:73" ht="13.5" customHeight="1">
      <c r="A101" s="6">
        <v>31</v>
      </c>
      <c r="B101" s="14" t="s">
        <v>65</v>
      </c>
      <c r="C101" s="106" t="s">
        <v>158</v>
      </c>
      <c r="D101" s="107"/>
      <c r="E101" s="19">
        <v>80</v>
      </c>
      <c r="F101" s="25" t="s">
        <v>52</v>
      </c>
      <c r="G101" s="156">
        <v>0</v>
      </c>
      <c r="H101" s="40">
        <f>ROUND(E101*G101,2)</f>
        <v>0</v>
      </c>
      <c r="I101" s="45" t="s">
        <v>101</v>
      </c>
      <c r="X101" s="19">
        <f>IF(AO101="5",BH101,0)</f>
        <v>0</v>
      </c>
      <c r="Z101" s="19">
        <f>IF(AO101="1",BF101,0)</f>
        <v>0</v>
      </c>
      <c r="AA101" s="19">
        <f>IF(AO101="1",BG101,0)</f>
        <v>0</v>
      </c>
      <c r="AB101" s="19">
        <f>IF(AO101="7",BF101,0)</f>
        <v>0</v>
      </c>
      <c r="AC101" s="19">
        <f>IF(AO101="7",BG101,0)</f>
        <v>0</v>
      </c>
      <c r="AD101" s="19">
        <f>IF(AO101="2",BF101,0)</f>
        <v>0</v>
      </c>
      <c r="AE101" s="19">
        <f>IF(AO101="2",BG101,0)</f>
        <v>0</v>
      </c>
      <c r="AF101" s="19">
        <f>IF(AO101="0",BH101,0)</f>
        <v>0</v>
      </c>
      <c r="AG101" s="9" t="s">
        <v>0</v>
      </c>
      <c r="AH101" s="19">
        <f>IF(AL101=0,H101,0)</f>
        <v>0</v>
      </c>
      <c r="AI101" s="19">
        <f>IF(AL101=15,H101,0)</f>
        <v>0</v>
      </c>
      <c r="AJ101" s="19">
        <f>IF(AL101=21,H101,0)</f>
        <v>0</v>
      </c>
      <c r="AL101" s="19">
        <v>21</v>
      </c>
      <c r="AM101" s="19">
        <f>G101*1</f>
        <v>0</v>
      </c>
      <c r="AN101" s="19">
        <f>G101*(1-1)</f>
        <v>0</v>
      </c>
      <c r="AO101" s="10" t="s">
        <v>238</v>
      </c>
      <c r="AT101" s="19">
        <f>AU101+AV101</f>
        <v>0</v>
      </c>
      <c r="AU101" s="19">
        <f>E101*AM101</f>
        <v>0</v>
      </c>
      <c r="AV101" s="19">
        <f>E101*AN101</f>
        <v>0</v>
      </c>
      <c r="AW101" s="10" t="s">
        <v>32</v>
      </c>
      <c r="AX101" s="10" t="s">
        <v>108</v>
      </c>
      <c r="AY101" s="9" t="s">
        <v>209</v>
      </c>
      <c r="BA101" s="19">
        <f>AU101+AV101</f>
        <v>0</v>
      </c>
      <c r="BB101" s="19">
        <f>G101/(100-BC101)*100</f>
        <v>0</v>
      </c>
      <c r="BC101" s="19">
        <v>0</v>
      </c>
      <c r="BD101" s="19">
        <f>101</f>
        <v>101</v>
      </c>
      <c r="BF101" s="19">
        <f>E101*AM101</f>
        <v>0</v>
      </c>
      <c r="BG101" s="19">
        <f>E101*AN101</f>
        <v>0</v>
      </c>
      <c r="BH101" s="19">
        <f>E101*G101</f>
        <v>0</v>
      </c>
      <c r="BI101" s="19"/>
      <c r="BJ101" s="19">
        <v>46</v>
      </c>
      <c r="BU101" s="19">
        <v>21</v>
      </c>
    </row>
    <row r="102" spans="1:9" ht="15" customHeight="1">
      <c r="A102" s="3"/>
      <c r="C102" s="4" t="s">
        <v>199</v>
      </c>
      <c r="D102" s="4" t="s">
        <v>91</v>
      </c>
      <c r="E102" s="2">
        <v>80</v>
      </c>
      <c r="I102" s="46"/>
    </row>
    <row r="103" spans="1:9" ht="13.5" customHeight="1">
      <c r="A103" s="3"/>
      <c r="B103" s="1" t="s">
        <v>79</v>
      </c>
      <c r="C103" s="84" t="s">
        <v>42</v>
      </c>
      <c r="D103" s="84"/>
      <c r="E103" s="84"/>
      <c r="F103" s="84"/>
      <c r="G103" s="84"/>
      <c r="H103" s="84"/>
      <c r="I103" s="84"/>
    </row>
    <row r="104" spans="1:60" ht="12" customHeight="1">
      <c r="A104" s="25"/>
      <c r="B104" s="25"/>
      <c r="C104" s="24"/>
      <c r="D104" s="24"/>
      <c r="E104" s="25"/>
      <c r="F104" s="25"/>
      <c r="G104" s="36"/>
      <c r="H104" s="71"/>
      <c r="I104" s="72"/>
      <c r="X104" s="9"/>
      <c r="Y104" s="9"/>
      <c r="Z104" s="9"/>
      <c r="AA104" s="9"/>
      <c r="AB104" s="9"/>
      <c r="AC104" s="9"/>
      <c r="AD104" s="9"/>
      <c r="AE104" s="9"/>
      <c r="AF104" s="9"/>
      <c r="BF104" s="9"/>
      <c r="BG104" s="9"/>
      <c r="BH104" s="9"/>
    </row>
    <row r="105" spans="1:9" ht="19.5" customHeight="1">
      <c r="A105" s="30" t="s">
        <v>274</v>
      </c>
      <c r="B105" s="28" t="s">
        <v>162</v>
      </c>
      <c r="C105" s="102" t="s">
        <v>298</v>
      </c>
      <c r="D105" s="103"/>
      <c r="E105" s="29" t="s">
        <v>217</v>
      </c>
      <c r="F105" s="29" t="s">
        <v>217</v>
      </c>
      <c r="G105" s="29" t="s">
        <v>217</v>
      </c>
      <c r="H105" s="38">
        <f>H106</f>
        <v>0</v>
      </c>
      <c r="I105" s="43" t="s">
        <v>162</v>
      </c>
    </row>
    <row r="106" spans="1:45" ht="15" customHeight="1">
      <c r="A106" s="20" t="s">
        <v>162</v>
      </c>
      <c r="B106" s="21" t="s">
        <v>186</v>
      </c>
      <c r="C106" s="104" t="s">
        <v>244</v>
      </c>
      <c r="D106" s="105"/>
      <c r="E106" s="8" t="s">
        <v>217</v>
      </c>
      <c r="F106" s="8" t="s">
        <v>217</v>
      </c>
      <c r="G106" s="8" t="s">
        <v>217</v>
      </c>
      <c r="H106" s="39">
        <f>SUM(H107:H171)</f>
        <v>0</v>
      </c>
      <c r="I106" s="44" t="s">
        <v>162</v>
      </c>
      <c r="AG106" s="9" t="s">
        <v>36</v>
      </c>
      <c r="AQ106" s="16">
        <f>SUM(AH107:AH171)</f>
        <v>0</v>
      </c>
      <c r="AR106" s="16">
        <f>SUM(AI107:AI171)</f>
        <v>0</v>
      </c>
      <c r="AS106" s="16">
        <f>SUM(AJ107:AJ171)</f>
        <v>0</v>
      </c>
    </row>
    <row r="107" spans="1:73" ht="13.5" customHeight="1">
      <c r="A107" s="6">
        <v>32</v>
      </c>
      <c r="B107" s="14" t="s">
        <v>14</v>
      </c>
      <c r="C107" s="106" t="s">
        <v>49</v>
      </c>
      <c r="D107" s="107"/>
      <c r="E107" s="19">
        <v>48.6</v>
      </c>
      <c r="F107" s="25" t="s">
        <v>230</v>
      </c>
      <c r="G107" s="156">
        <v>0</v>
      </c>
      <c r="H107" s="40">
        <f>ROUND(E107*G107,2)</f>
        <v>0</v>
      </c>
      <c r="I107" s="45" t="s">
        <v>101</v>
      </c>
      <c r="X107" s="19">
        <f>IF(AO107="5",BH107,0)</f>
        <v>0</v>
      </c>
      <c r="Z107" s="19">
        <f>IF(AO107="1",BF107,0)</f>
        <v>0</v>
      </c>
      <c r="AA107" s="19">
        <f>IF(AO107="1",BG107,0)</f>
        <v>0</v>
      </c>
      <c r="AB107" s="19">
        <f>IF(AO107="7",BF107,0)</f>
        <v>0</v>
      </c>
      <c r="AC107" s="19">
        <f>IF(AO107="7",BG107,0)</f>
        <v>0</v>
      </c>
      <c r="AD107" s="19">
        <f>IF(AO107="2",BF107,0)</f>
        <v>0</v>
      </c>
      <c r="AE107" s="19">
        <f>IF(AO107="2",BG107,0)</f>
        <v>0</v>
      </c>
      <c r="AF107" s="19">
        <f>IF(AO107="0",BH107,0)</f>
        <v>0</v>
      </c>
      <c r="AG107" s="9" t="s">
        <v>36</v>
      </c>
      <c r="AH107" s="19">
        <f>IF(AL107=0,H107,0)</f>
        <v>0</v>
      </c>
      <c r="AI107" s="19">
        <f>IF(AL107=15,H107,0)</f>
        <v>0</v>
      </c>
      <c r="AJ107" s="19">
        <f>IF(AL107=21,H107,0)</f>
        <v>0</v>
      </c>
      <c r="AL107" s="19">
        <v>21</v>
      </c>
      <c r="AM107" s="19">
        <f>G107*0.0913162393162393</f>
        <v>0</v>
      </c>
      <c r="AN107" s="19">
        <f>G107*(1-0.0913162393162393)</f>
        <v>0</v>
      </c>
      <c r="AO107" s="10" t="s">
        <v>238</v>
      </c>
      <c r="AT107" s="19">
        <f>AU107+AV107</f>
        <v>0</v>
      </c>
      <c r="AU107" s="19">
        <f>E107*AM107</f>
        <v>0</v>
      </c>
      <c r="AV107" s="19">
        <f>E107*AN107</f>
        <v>0</v>
      </c>
      <c r="AW107" s="10" t="s">
        <v>111</v>
      </c>
      <c r="AX107" s="10" t="s">
        <v>126</v>
      </c>
      <c r="AY107" s="9" t="s">
        <v>266</v>
      </c>
      <c r="BA107" s="19">
        <f>AU107+AV107</f>
        <v>0</v>
      </c>
      <c r="BB107" s="19">
        <f>G107/(100-BC107)*100</f>
        <v>0</v>
      </c>
      <c r="BC107" s="19">
        <v>0</v>
      </c>
      <c r="BD107" s="19">
        <f>106</f>
        <v>106</v>
      </c>
      <c r="BF107" s="19">
        <f>E107*AM107</f>
        <v>0</v>
      </c>
      <c r="BG107" s="19">
        <f>E107*AN107</f>
        <v>0</v>
      </c>
      <c r="BH107" s="19">
        <f>E107*G107</f>
        <v>0</v>
      </c>
      <c r="BI107" s="19"/>
      <c r="BJ107" s="19">
        <v>18</v>
      </c>
      <c r="BU107" s="19">
        <v>21</v>
      </c>
    </row>
    <row r="108" spans="1:9" ht="15" customHeight="1">
      <c r="A108" s="3"/>
      <c r="C108" s="4" t="s">
        <v>22</v>
      </c>
      <c r="D108" s="4" t="s">
        <v>90</v>
      </c>
      <c r="E108" s="2">
        <v>10.5</v>
      </c>
      <c r="I108" s="46"/>
    </row>
    <row r="109" spans="1:9" ht="15" customHeight="1">
      <c r="A109" s="3"/>
      <c r="C109" s="4" t="s">
        <v>256</v>
      </c>
      <c r="D109" s="4" t="s">
        <v>44</v>
      </c>
      <c r="E109" s="2">
        <v>2.1</v>
      </c>
      <c r="I109" s="46"/>
    </row>
    <row r="110" spans="1:9" ht="15" customHeight="1">
      <c r="A110" s="3"/>
      <c r="C110" s="4" t="s">
        <v>22</v>
      </c>
      <c r="D110" s="4" t="s">
        <v>215</v>
      </c>
      <c r="E110" s="2">
        <v>10.5</v>
      </c>
      <c r="I110" s="46"/>
    </row>
    <row r="111" spans="1:9" ht="15" customHeight="1">
      <c r="A111" s="3"/>
      <c r="C111" s="4" t="s">
        <v>256</v>
      </c>
      <c r="D111" s="4" t="s">
        <v>128</v>
      </c>
      <c r="E111" s="2">
        <v>2.1</v>
      </c>
      <c r="I111" s="46"/>
    </row>
    <row r="112" spans="1:9" ht="15" customHeight="1">
      <c r="A112" s="3"/>
      <c r="C112" s="4" t="s">
        <v>62</v>
      </c>
      <c r="D112" s="4" t="s">
        <v>112</v>
      </c>
      <c r="E112" s="2">
        <v>7.500000000000001</v>
      </c>
      <c r="I112" s="46"/>
    </row>
    <row r="113" spans="1:9" ht="15" customHeight="1">
      <c r="A113" s="3"/>
      <c r="C113" s="4" t="s">
        <v>62</v>
      </c>
      <c r="D113" s="4" t="s">
        <v>196</v>
      </c>
      <c r="E113" s="2">
        <v>7.500000000000001</v>
      </c>
      <c r="I113" s="46"/>
    </row>
    <row r="114" spans="1:9" ht="15" customHeight="1">
      <c r="A114" s="3"/>
      <c r="C114" s="4" t="s">
        <v>133</v>
      </c>
      <c r="D114" s="4" t="s">
        <v>33</v>
      </c>
      <c r="E114" s="2">
        <v>4.5</v>
      </c>
      <c r="I114" s="46"/>
    </row>
    <row r="115" spans="1:9" ht="15" customHeight="1">
      <c r="A115" s="3"/>
      <c r="C115" s="4" t="s">
        <v>168</v>
      </c>
      <c r="D115" s="4" t="s">
        <v>127</v>
      </c>
      <c r="E115" s="2">
        <v>1.5000000000000002</v>
      </c>
      <c r="I115" s="46"/>
    </row>
    <row r="116" spans="1:9" ht="15" customHeight="1">
      <c r="A116" s="3"/>
      <c r="C116" s="4" t="s">
        <v>168</v>
      </c>
      <c r="D116" s="4" t="s">
        <v>113</v>
      </c>
      <c r="E116" s="2">
        <v>1.5000000000000002</v>
      </c>
      <c r="I116" s="46"/>
    </row>
    <row r="117" spans="1:9" ht="15" customHeight="1">
      <c r="A117" s="3"/>
      <c r="C117" s="4" t="s">
        <v>105</v>
      </c>
      <c r="D117" s="4" t="s">
        <v>262</v>
      </c>
      <c r="E117" s="2">
        <v>0.9</v>
      </c>
      <c r="I117" s="46"/>
    </row>
    <row r="118" spans="1:73" ht="13.5" customHeight="1">
      <c r="A118" s="86">
        <v>33</v>
      </c>
      <c r="B118" s="87" t="s">
        <v>173</v>
      </c>
      <c r="C118" s="114" t="s">
        <v>15</v>
      </c>
      <c r="D118" s="115"/>
      <c r="E118" s="88">
        <v>48.6</v>
      </c>
      <c r="F118" s="87" t="s">
        <v>230</v>
      </c>
      <c r="G118" s="96" t="s">
        <v>304</v>
      </c>
      <c r="H118" s="97"/>
      <c r="I118" s="89" t="s">
        <v>101</v>
      </c>
      <c r="X118" s="19">
        <f>IF(AO118="5",BH118,0)</f>
        <v>0</v>
      </c>
      <c r="Z118" s="19" t="e">
        <f>IF(AO118="1",BF118,0)</f>
        <v>#VALUE!</v>
      </c>
      <c r="AA118" s="19" t="e">
        <f>IF(AO118="1",BG118,0)</f>
        <v>#VALUE!</v>
      </c>
      <c r="AB118" s="19">
        <f>IF(AO118="7",BF118,0)</f>
        <v>0</v>
      </c>
      <c r="AC118" s="19">
        <f>IF(AO118="7",BG118,0)</f>
        <v>0</v>
      </c>
      <c r="AD118" s="19">
        <f>IF(AO118="2",BF118,0)</f>
        <v>0</v>
      </c>
      <c r="AE118" s="19">
        <f>IF(AO118="2",BG118,0)</f>
        <v>0</v>
      </c>
      <c r="AF118" s="19">
        <f>IF(AO118="0",BH118,0)</f>
        <v>0</v>
      </c>
      <c r="AG118" s="9" t="s">
        <v>36</v>
      </c>
      <c r="AH118" s="19">
        <f>IF(AL118=0,H118,0)</f>
        <v>0</v>
      </c>
      <c r="AI118" s="19">
        <f>IF(AL118=15,H118,0)</f>
        <v>0</v>
      </c>
      <c r="AJ118" s="19">
        <f>IF(AL118=21,H118,0)</f>
        <v>0</v>
      </c>
      <c r="AL118" s="19">
        <v>21</v>
      </c>
      <c r="AM118" s="19" t="e">
        <f>G118*0</f>
        <v>#VALUE!</v>
      </c>
      <c r="AN118" s="19" t="e">
        <f>G118*(1-0)</f>
        <v>#VALUE!</v>
      </c>
      <c r="AO118" s="10" t="s">
        <v>238</v>
      </c>
      <c r="AT118" s="19" t="e">
        <f>AU118+AV118</f>
        <v>#VALUE!</v>
      </c>
      <c r="AU118" s="19" t="e">
        <f>E118*AM118</f>
        <v>#VALUE!</v>
      </c>
      <c r="AV118" s="19" t="e">
        <f>E118*AN118</f>
        <v>#VALUE!</v>
      </c>
      <c r="AW118" s="10" t="s">
        <v>111</v>
      </c>
      <c r="AX118" s="10" t="s">
        <v>126</v>
      </c>
      <c r="AY118" s="9" t="s">
        <v>266</v>
      </c>
      <c r="BA118" s="19" t="e">
        <f>AU118+AV118</f>
        <v>#VALUE!</v>
      </c>
      <c r="BB118" s="19" t="e">
        <f>G118/(100-BC118)*100</f>
        <v>#VALUE!</v>
      </c>
      <c r="BC118" s="19">
        <v>0</v>
      </c>
      <c r="BD118" s="19">
        <f>117</f>
        <v>117</v>
      </c>
      <c r="BF118" s="19" t="e">
        <f>E118*AM118</f>
        <v>#VALUE!</v>
      </c>
      <c r="BG118" s="19" t="e">
        <f>E118*AN118</f>
        <v>#VALUE!</v>
      </c>
      <c r="BH118" s="19" t="e">
        <f>E118*G118</f>
        <v>#VALUE!</v>
      </c>
      <c r="BI118" s="19"/>
      <c r="BJ118" s="19">
        <v>18</v>
      </c>
      <c r="BU118" s="19">
        <v>21</v>
      </c>
    </row>
    <row r="119" spans="1:9" ht="15" customHeight="1">
      <c r="A119" s="90"/>
      <c r="B119" s="91"/>
      <c r="C119" s="92" t="s">
        <v>22</v>
      </c>
      <c r="D119" s="92" t="s">
        <v>90</v>
      </c>
      <c r="E119" s="93">
        <v>10.5</v>
      </c>
      <c r="F119" s="91"/>
      <c r="G119" s="91"/>
      <c r="H119" s="94"/>
      <c r="I119" s="95"/>
    </row>
    <row r="120" spans="1:9" ht="15" customHeight="1">
      <c r="A120" s="90"/>
      <c r="B120" s="91"/>
      <c r="C120" s="92" t="s">
        <v>256</v>
      </c>
      <c r="D120" s="92" t="s">
        <v>44</v>
      </c>
      <c r="E120" s="93">
        <v>2.1</v>
      </c>
      <c r="F120" s="91"/>
      <c r="G120" s="91"/>
      <c r="H120" s="94"/>
      <c r="I120" s="95"/>
    </row>
    <row r="121" spans="1:9" ht="15" customHeight="1">
      <c r="A121" s="90"/>
      <c r="B121" s="91"/>
      <c r="C121" s="92" t="s">
        <v>22</v>
      </c>
      <c r="D121" s="92" t="s">
        <v>215</v>
      </c>
      <c r="E121" s="93">
        <v>10.5</v>
      </c>
      <c r="F121" s="91"/>
      <c r="G121" s="91"/>
      <c r="H121" s="94"/>
      <c r="I121" s="95"/>
    </row>
    <row r="122" spans="1:9" ht="15" customHeight="1">
      <c r="A122" s="90"/>
      <c r="B122" s="91"/>
      <c r="C122" s="92" t="s">
        <v>256</v>
      </c>
      <c r="D122" s="92" t="s">
        <v>128</v>
      </c>
      <c r="E122" s="93">
        <v>2.1</v>
      </c>
      <c r="F122" s="91"/>
      <c r="G122" s="91"/>
      <c r="H122" s="94"/>
      <c r="I122" s="95"/>
    </row>
    <row r="123" spans="1:9" ht="15" customHeight="1">
      <c r="A123" s="90"/>
      <c r="B123" s="91"/>
      <c r="C123" s="92" t="s">
        <v>62</v>
      </c>
      <c r="D123" s="92" t="s">
        <v>112</v>
      </c>
      <c r="E123" s="93">
        <v>7.500000000000001</v>
      </c>
      <c r="F123" s="91"/>
      <c r="G123" s="91"/>
      <c r="H123" s="94"/>
      <c r="I123" s="95"/>
    </row>
    <row r="124" spans="1:9" ht="15" customHeight="1">
      <c r="A124" s="90"/>
      <c r="B124" s="91"/>
      <c r="C124" s="92" t="s">
        <v>62</v>
      </c>
      <c r="D124" s="92" t="s">
        <v>196</v>
      </c>
      <c r="E124" s="93">
        <v>7.500000000000001</v>
      </c>
      <c r="F124" s="91"/>
      <c r="G124" s="91"/>
      <c r="H124" s="94"/>
      <c r="I124" s="95"/>
    </row>
    <row r="125" spans="1:9" ht="15" customHeight="1">
      <c r="A125" s="90"/>
      <c r="B125" s="91"/>
      <c r="C125" s="92" t="s">
        <v>133</v>
      </c>
      <c r="D125" s="92" t="s">
        <v>33</v>
      </c>
      <c r="E125" s="93">
        <v>4.5</v>
      </c>
      <c r="F125" s="91"/>
      <c r="G125" s="91"/>
      <c r="H125" s="94"/>
      <c r="I125" s="95"/>
    </row>
    <row r="126" spans="1:9" ht="15" customHeight="1">
      <c r="A126" s="90"/>
      <c r="B126" s="91"/>
      <c r="C126" s="92" t="s">
        <v>168</v>
      </c>
      <c r="D126" s="92" t="s">
        <v>127</v>
      </c>
      <c r="E126" s="93">
        <v>1.5000000000000002</v>
      </c>
      <c r="F126" s="91"/>
      <c r="G126" s="91"/>
      <c r="H126" s="94"/>
      <c r="I126" s="95"/>
    </row>
    <row r="127" spans="1:9" ht="15" customHeight="1">
      <c r="A127" s="90"/>
      <c r="B127" s="91"/>
      <c r="C127" s="92" t="s">
        <v>168</v>
      </c>
      <c r="D127" s="92" t="s">
        <v>113</v>
      </c>
      <c r="E127" s="93">
        <v>1.5000000000000002</v>
      </c>
      <c r="F127" s="91"/>
      <c r="G127" s="91"/>
      <c r="H127" s="94"/>
      <c r="I127" s="95"/>
    </row>
    <row r="128" spans="1:9" ht="15" customHeight="1">
      <c r="A128" s="90"/>
      <c r="B128" s="91"/>
      <c r="C128" s="92" t="s">
        <v>105</v>
      </c>
      <c r="D128" s="92" t="s">
        <v>262</v>
      </c>
      <c r="E128" s="93">
        <v>0.9</v>
      </c>
      <c r="F128" s="91"/>
      <c r="G128" s="91"/>
      <c r="H128" s="94"/>
      <c r="I128" s="95"/>
    </row>
    <row r="129" spans="1:73" ht="13.5" customHeight="1">
      <c r="A129" s="86">
        <v>34</v>
      </c>
      <c r="B129" s="87" t="s">
        <v>231</v>
      </c>
      <c r="C129" s="114" t="s">
        <v>192</v>
      </c>
      <c r="D129" s="115"/>
      <c r="E129" s="88">
        <v>51.02</v>
      </c>
      <c r="F129" s="87" t="s">
        <v>230</v>
      </c>
      <c r="G129" s="96" t="s">
        <v>304</v>
      </c>
      <c r="H129" s="97"/>
      <c r="I129" s="89" t="s">
        <v>101</v>
      </c>
      <c r="X129" s="19">
        <f>IF(AO129="5",BH129,0)</f>
        <v>0</v>
      </c>
      <c r="Z129" s="19" t="e">
        <f>IF(AO129="1",BF129,0)</f>
        <v>#VALUE!</v>
      </c>
      <c r="AA129" s="19" t="e">
        <f>IF(AO129="1",BG129,0)</f>
        <v>#VALUE!</v>
      </c>
      <c r="AB129" s="19">
        <f>IF(AO129="7",BF129,0)</f>
        <v>0</v>
      </c>
      <c r="AC129" s="19">
        <f>IF(AO129="7",BG129,0)</f>
        <v>0</v>
      </c>
      <c r="AD129" s="19">
        <f>IF(AO129="2",BF129,0)</f>
        <v>0</v>
      </c>
      <c r="AE129" s="19">
        <f>IF(AO129="2",BG129,0)</f>
        <v>0</v>
      </c>
      <c r="AF129" s="19">
        <f>IF(AO129="0",BH129,0)</f>
        <v>0</v>
      </c>
      <c r="AG129" s="9" t="s">
        <v>36</v>
      </c>
      <c r="AH129" s="19">
        <f>IF(AL129=0,H129,0)</f>
        <v>0</v>
      </c>
      <c r="AI129" s="19">
        <f>IF(AL129=15,H129,0)</f>
        <v>0</v>
      </c>
      <c r="AJ129" s="19">
        <f>IF(AL129=21,H129,0)</f>
        <v>0</v>
      </c>
      <c r="AL129" s="19">
        <v>21</v>
      </c>
      <c r="AM129" s="19" t="e">
        <f>G129*1</f>
        <v>#VALUE!</v>
      </c>
      <c r="AN129" s="19" t="e">
        <f>G129*(1-1)</f>
        <v>#VALUE!</v>
      </c>
      <c r="AO129" s="10" t="s">
        <v>238</v>
      </c>
      <c r="AT129" s="19" t="e">
        <f>AU129+AV129</f>
        <v>#VALUE!</v>
      </c>
      <c r="AU129" s="19" t="e">
        <f>E129*AM129</f>
        <v>#VALUE!</v>
      </c>
      <c r="AV129" s="19" t="e">
        <f>E129*AN129</f>
        <v>#VALUE!</v>
      </c>
      <c r="AW129" s="10" t="s">
        <v>111</v>
      </c>
      <c r="AX129" s="10" t="s">
        <v>126</v>
      </c>
      <c r="AY129" s="9" t="s">
        <v>266</v>
      </c>
      <c r="BA129" s="19" t="e">
        <f>AU129+AV129</f>
        <v>#VALUE!</v>
      </c>
      <c r="BB129" s="19" t="e">
        <f>G129/(100-BC129)*100</f>
        <v>#VALUE!</v>
      </c>
      <c r="BC129" s="19">
        <v>0</v>
      </c>
      <c r="BD129" s="19">
        <f>128</f>
        <v>128</v>
      </c>
      <c r="BF129" s="19" t="e">
        <f>E129*AM129</f>
        <v>#VALUE!</v>
      </c>
      <c r="BG129" s="19" t="e">
        <f>E129*AN129</f>
        <v>#VALUE!</v>
      </c>
      <c r="BH129" s="19" t="e">
        <f>E129*G129</f>
        <v>#VALUE!</v>
      </c>
      <c r="BI129" s="19"/>
      <c r="BJ129" s="19">
        <v>18</v>
      </c>
      <c r="BU129" s="19">
        <v>21</v>
      </c>
    </row>
    <row r="130" spans="1:9" ht="15" customHeight="1">
      <c r="A130" s="90"/>
      <c r="B130" s="91"/>
      <c r="C130" s="92" t="s">
        <v>22</v>
      </c>
      <c r="D130" s="92" t="s">
        <v>90</v>
      </c>
      <c r="E130" s="93">
        <v>10.5</v>
      </c>
      <c r="F130" s="91"/>
      <c r="G130" s="91"/>
      <c r="H130" s="94"/>
      <c r="I130" s="95"/>
    </row>
    <row r="131" spans="1:9" ht="15" customHeight="1">
      <c r="A131" s="90"/>
      <c r="B131" s="91"/>
      <c r="C131" s="92" t="s">
        <v>256</v>
      </c>
      <c r="D131" s="92" t="s">
        <v>44</v>
      </c>
      <c r="E131" s="93">
        <v>2.1</v>
      </c>
      <c r="F131" s="91"/>
      <c r="G131" s="91"/>
      <c r="H131" s="94"/>
      <c r="I131" s="95"/>
    </row>
    <row r="132" spans="1:9" ht="15" customHeight="1">
      <c r="A132" s="90"/>
      <c r="B132" s="91"/>
      <c r="C132" s="92" t="s">
        <v>22</v>
      </c>
      <c r="D132" s="92" t="s">
        <v>215</v>
      </c>
      <c r="E132" s="93">
        <v>10.5</v>
      </c>
      <c r="F132" s="91"/>
      <c r="G132" s="91"/>
      <c r="H132" s="94"/>
      <c r="I132" s="95"/>
    </row>
    <row r="133" spans="1:9" ht="15" customHeight="1">
      <c r="A133" s="90"/>
      <c r="B133" s="91"/>
      <c r="C133" s="92" t="s">
        <v>256</v>
      </c>
      <c r="D133" s="92" t="s">
        <v>128</v>
      </c>
      <c r="E133" s="93">
        <v>2.1</v>
      </c>
      <c r="F133" s="91"/>
      <c r="G133" s="91"/>
      <c r="H133" s="94"/>
      <c r="I133" s="95"/>
    </row>
    <row r="134" spans="1:9" ht="15" customHeight="1">
      <c r="A134" s="90"/>
      <c r="B134" s="91"/>
      <c r="C134" s="92" t="s">
        <v>62</v>
      </c>
      <c r="D134" s="92" t="s">
        <v>112</v>
      </c>
      <c r="E134" s="93">
        <v>7.500000000000001</v>
      </c>
      <c r="F134" s="91"/>
      <c r="G134" s="91"/>
      <c r="H134" s="94"/>
      <c r="I134" s="95"/>
    </row>
    <row r="135" spans="1:9" ht="15" customHeight="1">
      <c r="A135" s="90"/>
      <c r="B135" s="91"/>
      <c r="C135" s="92" t="s">
        <v>62</v>
      </c>
      <c r="D135" s="92" t="s">
        <v>196</v>
      </c>
      <c r="E135" s="93">
        <v>7.500000000000001</v>
      </c>
      <c r="F135" s="91"/>
      <c r="G135" s="91"/>
      <c r="H135" s="94"/>
      <c r="I135" s="95"/>
    </row>
    <row r="136" spans="1:9" ht="15" customHeight="1">
      <c r="A136" s="90"/>
      <c r="B136" s="91"/>
      <c r="C136" s="92" t="s">
        <v>133</v>
      </c>
      <c r="D136" s="92" t="s">
        <v>33</v>
      </c>
      <c r="E136" s="93">
        <v>4.5</v>
      </c>
      <c r="F136" s="91"/>
      <c r="G136" s="91"/>
      <c r="H136" s="94"/>
      <c r="I136" s="95"/>
    </row>
    <row r="137" spans="1:9" ht="15" customHeight="1">
      <c r="A137" s="90"/>
      <c r="B137" s="91"/>
      <c r="C137" s="92" t="s">
        <v>168</v>
      </c>
      <c r="D137" s="92" t="s">
        <v>127</v>
      </c>
      <c r="E137" s="93">
        <v>1.5000000000000002</v>
      </c>
      <c r="F137" s="91"/>
      <c r="G137" s="91"/>
      <c r="H137" s="94"/>
      <c r="I137" s="95"/>
    </row>
    <row r="138" spans="1:9" ht="15" customHeight="1">
      <c r="A138" s="90"/>
      <c r="B138" s="91"/>
      <c r="C138" s="92" t="s">
        <v>168</v>
      </c>
      <c r="D138" s="92" t="s">
        <v>113</v>
      </c>
      <c r="E138" s="93">
        <v>1.5000000000000002</v>
      </c>
      <c r="F138" s="91"/>
      <c r="G138" s="91"/>
      <c r="H138" s="94"/>
      <c r="I138" s="95"/>
    </row>
    <row r="139" spans="1:9" ht="15" customHeight="1">
      <c r="A139" s="90"/>
      <c r="B139" s="91"/>
      <c r="C139" s="92" t="s">
        <v>105</v>
      </c>
      <c r="D139" s="92" t="s">
        <v>262</v>
      </c>
      <c r="E139" s="93">
        <v>0.9</v>
      </c>
      <c r="F139" s="91"/>
      <c r="G139" s="91"/>
      <c r="H139" s="94"/>
      <c r="I139" s="95"/>
    </row>
    <row r="140" spans="1:9" ht="15" customHeight="1">
      <c r="A140" s="90"/>
      <c r="B140" s="91"/>
      <c r="C140" s="92" t="s">
        <v>64</v>
      </c>
      <c r="D140" s="92" t="s">
        <v>162</v>
      </c>
      <c r="E140" s="93">
        <v>3.89</v>
      </c>
      <c r="F140" s="91"/>
      <c r="G140" s="91"/>
      <c r="H140" s="94"/>
      <c r="I140" s="95"/>
    </row>
    <row r="141" spans="1:73" ht="13.5" customHeight="1">
      <c r="A141" s="6">
        <v>35</v>
      </c>
      <c r="B141" s="14" t="s">
        <v>136</v>
      </c>
      <c r="C141" s="106" t="s">
        <v>45</v>
      </c>
      <c r="D141" s="107"/>
      <c r="E141" s="19">
        <v>320</v>
      </c>
      <c r="F141" s="25" t="s">
        <v>165</v>
      </c>
      <c r="G141" s="156">
        <v>0</v>
      </c>
      <c r="H141" s="40">
        <f>ROUND(E141*G141,2)</f>
        <v>0</v>
      </c>
      <c r="I141" s="45" t="s">
        <v>162</v>
      </c>
      <c r="X141" s="19">
        <f>IF(AO141="5",BH141,0)</f>
        <v>0</v>
      </c>
      <c r="Z141" s="19">
        <f>IF(AO141="1",BF141,0)</f>
        <v>0</v>
      </c>
      <c r="AA141" s="19">
        <f>IF(AO141="1",BG141,0)</f>
        <v>0</v>
      </c>
      <c r="AB141" s="19">
        <f>IF(AO141="7",BF141,0)</f>
        <v>0</v>
      </c>
      <c r="AC141" s="19">
        <f>IF(AO141="7",BG141,0)</f>
        <v>0</v>
      </c>
      <c r="AD141" s="19">
        <f>IF(AO141="2",BF141,0)</f>
        <v>0</v>
      </c>
      <c r="AE141" s="19">
        <f>IF(AO141="2",BG141,0)</f>
        <v>0</v>
      </c>
      <c r="AF141" s="19">
        <f>IF(AO141="0",BH141,0)</f>
        <v>0</v>
      </c>
      <c r="AG141" s="9" t="s">
        <v>36</v>
      </c>
      <c r="AH141" s="19">
        <f>IF(AL141=0,H141,0)</f>
        <v>0</v>
      </c>
      <c r="AI141" s="19">
        <f>IF(AL141=15,H141,0)</f>
        <v>0</v>
      </c>
      <c r="AJ141" s="19">
        <f>IF(AL141=21,H141,0)</f>
        <v>0</v>
      </c>
      <c r="AL141" s="19">
        <v>21</v>
      </c>
      <c r="AM141" s="19">
        <f>G141*0</f>
        <v>0</v>
      </c>
      <c r="AN141" s="19">
        <f>G141*(1-0)</f>
        <v>0</v>
      </c>
      <c r="AO141" s="10" t="s">
        <v>238</v>
      </c>
      <c r="AT141" s="19">
        <f>AU141+AV141</f>
        <v>0</v>
      </c>
      <c r="AU141" s="19">
        <f>E141*AM141</f>
        <v>0</v>
      </c>
      <c r="AV141" s="19">
        <f>E141*AN141</f>
        <v>0</v>
      </c>
      <c r="AW141" s="10" t="s">
        <v>111</v>
      </c>
      <c r="AX141" s="10" t="s">
        <v>126</v>
      </c>
      <c r="AY141" s="9" t="s">
        <v>266</v>
      </c>
      <c r="BA141" s="19">
        <f>AU141+AV141</f>
        <v>0</v>
      </c>
      <c r="BB141" s="19">
        <f>G141/(100-BC141)*100</f>
        <v>0</v>
      </c>
      <c r="BC141" s="19">
        <v>0</v>
      </c>
      <c r="BD141" s="19">
        <f>140</f>
        <v>140</v>
      </c>
      <c r="BF141" s="19">
        <f>E141*AM141</f>
        <v>0</v>
      </c>
      <c r="BG141" s="19">
        <f>E141*AN141</f>
        <v>0</v>
      </c>
      <c r="BH141" s="19">
        <f>E141*G141</f>
        <v>0</v>
      </c>
      <c r="BI141" s="19"/>
      <c r="BJ141" s="19">
        <v>18</v>
      </c>
      <c r="BU141" s="19">
        <v>21</v>
      </c>
    </row>
    <row r="142" spans="1:9" ht="15" customHeight="1">
      <c r="A142" s="3"/>
      <c r="C142" s="4" t="s">
        <v>73</v>
      </c>
      <c r="D142" s="4" t="s">
        <v>164</v>
      </c>
      <c r="E142" s="2">
        <v>40</v>
      </c>
      <c r="I142" s="46"/>
    </row>
    <row r="143" spans="1:9" ht="15" customHeight="1">
      <c r="A143" s="3"/>
      <c r="C143" s="4" t="s">
        <v>115</v>
      </c>
      <c r="D143" s="4" t="s">
        <v>116</v>
      </c>
      <c r="E143" s="2">
        <v>70</v>
      </c>
      <c r="I143" s="46"/>
    </row>
    <row r="144" spans="1:9" ht="15" customHeight="1">
      <c r="A144" s="3"/>
      <c r="C144" s="4" t="s">
        <v>115</v>
      </c>
      <c r="D144" s="4" t="s">
        <v>141</v>
      </c>
      <c r="E144" s="2">
        <v>70</v>
      </c>
      <c r="I144" s="46"/>
    </row>
    <row r="145" spans="1:9" ht="15" customHeight="1">
      <c r="A145" s="3"/>
      <c r="C145" s="4" t="s">
        <v>115</v>
      </c>
      <c r="D145" s="4" t="s">
        <v>41</v>
      </c>
      <c r="E145" s="2">
        <v>70</v>
      </c>
      <c r="I145" s="46"/>
    </row>
    <row r="146" spans="1:9" ht="15" customHeight="1">
      <c r="A146" s="3"/>
      <c r="C146" s="4" t="s">
        <v>115</v>
      </c>
      <c r="D146" s="4" t="s">
        <v>57</v>
      </c>
      <c r="E146" s="2">
        <v>70</v>
      </c>
      <c r="I146" s="46"/>
    </row>
    <row r="147" spans="1:73" ht="13.5" customHeight="1">
      <c r="A147" s="6">
        <v>36</v>
      </c>
      <c r="B147" s="14" t="s">
        <v>153</v>
      </c>
      <c r="C147" s="106" t="s">
        <v>1</v>
      </c>
      <c r="D147" s="107"/>
      <c r="E147" s="19">
        <v>70</v>
      </c>
      <c r="F147" s="25" t="s">
        <v>234</v>
      </c>
      <c r="G147" s="156">
        <v>0</v>
      </c>
      <c r="H147" s="40">
        <f>ROUND(E147*G147,2)</f>
        <v>0</v>
      </c>
      <c r="I147" s="45" t="s">
        <v>101</v>
      </c>
      <c r="X147" s="19">
        <f>IF(AO147="5",BH147,0)</f>
        <v>0</v>
      </c>
      <c r="Z147" s="19">
        <f>IF(AO147="1",BF147,0)</f>
        <v>0</v>
      </c>
      <c r="AA147" s="19">
        <f>IF(AO147="1",BG147,0)</f>
        <v>0</v>
      </c>
      <c r="AB147" s="19">
        <f>IF(AO147="7",BF147,0)</f>
        <v>0</v>
      </c>
      <c r="AC147" s="19">
        <f>IF(AO147="7",BG147,0)</f>
        <v>0</v>
      </c>
      <c r="AD147" s="19">
        <f>IF(AO147="2",BF147,0)</f>
        <v>0</v>
      </c>
      <c r="AE147" s="19">
        <f>IF(AO147="2",BG147,0)</f>
        <v>0</v>
      </c>
      <c r="AF147" s="19">
        <f>IF(AO147="0",BH147,0)</f>
        <v>0</v>
      </c>
      <c r="AG147" s="9" t="s">
        <v>36</v>
      </c>
      <c r="AH147" s="19">
        <f>IF(AL147=0,H147,0)</f>
        <v>0</v>
      </c>
      <c r="AI147" s="19">
        <f>IF(AL147=15,H147,0)</f>
        <v>0</v>
      </c>
      <c r="AJ147" s="19">
        <f>IF(AL147=21,H147,0)</f>
        <v>0</v>
      </c>
      <c r="AL147" s="19">
        <v>21</v>
      </c>
      <c r="AM147" s="19">
        <f>G147*0</f>
        <v>0</v>
      </c>
      <c r="AN147" s="19">
        <f>G147*(1-0)</f>
        <v>0</v>
      </c>
      <c r="AO147" s="10" t="s">
        <v>238</v>
      </c>
      <c r="AT147" s="19">
        <f>AU147+AV147</f>
        <v>0</v>
      </c>
      <c r="AU147" s="19">
        <f>E147*AM147</f>
        <v>0</v>
      </c>
      <c r="AV147" s="19">
        <f>E147*AN147</f>
        <v>0</v>
      </c>
      <c r="AW147" s="10" t="s">
        <v>111</v>
      </c>
      <c r="AX147" s="10" t="s">
        <v>126</v>
      </c>
      <c r="AY147" s="9" t="s">
        <v>266</v>
      </c>
      <c r="BA147" s="19">
        <f>AU147+AV147</f>
        <v>0</v>
      </c>
      <c r="BB147" s="19">
        <f>G147/(100-BC147)*100</f>
        <v>0</v>
      </c>
      <c r="BC147" s="19">
        <v>0</v>
      </c>
      <c r="BD147" s="19">
        <f>146</f>
        <v>146</v>
      </c>
      <c r="BF147" s="19">
        <f>E147*AM147</f>
        <v>0</v>
      </c>
      <c r="BG147" s="19">
        <f>E147*AN147</f>
        <v>0</v>
      </c>
      <c r="BH147" s="19">
        <f>E147*G147</f>
        <v>0</v>
      </c>
      <c r="BI147" s="19"/>
      <c r="BJ147" s="19">
        <v>18</v>
      </c>
      <c r="BU147" s="19">
        <v>21</v>
      </c>
    </row>
    <row r="148" spans="1:9" ht="15" customHeight="1">
      <c r="A148" s="3"/>
      <c r="C148" s="4" t="s">
        <v>53</v>
      </c>
      <c r="D148" s="4" t="s">
        <v>38</v>
      </c>
      <c r="E148" s="2">
        <v>45.00000000000001</v>
      </c>
      <c r="I148" s="46"/>
    </row>
    <row r="149" spans="1:9" ht="15" customHeight="1">
      <c r="A149" s="3"/>
      <c r="C149" s="4" t="s">
        <v>82</v>
      </c>
      <c r="D149" s="4" t="s">
        <v>219</v>
      </c>
      <c r="E149" s="2">
        <v>15.000000000000002</v>
      </c>
      <c r="I149" s="46"/>
    </row>
    <row r="150" spans="1:9" ht="15" customHeight="1">
      <c r="A150" s="3"/>
      <c r="C150" s="4" t="s">
        <v>98</v>
      </c>
      <c r="D150" s="4" t="s">
        <v>129</v>
      </c>
      <c r="E150" s="2">
        <v>10</v>
      </c>
      <c r="I150" s="46"/>
    </row>
    <row r="151" spans="1:73" ht="13.5" customHeight="1">
      <c r="A151" s="6">
        <v>37</v>
      </c>
      <c r="B151" s="14" t="s">
        <v>153</v>
      </c>
      <c r="C151" s="106" t="s">
        <v>180</v>
      </c>
      <c r="D151" s="107"/>
      <c r="E151" s="19">
        <v>70</v>
      </c>
      <c r="F151" s="25" t="s">
        <v>234</v>
      </c>
      <c r="G151" s="156">
        <v>0</v>
      </c>
      <c r="H151" s="40">
        <f>ROUND(E151*G151,2)</f>
        <v>0</v>
      </c>
      <c r="I151" s="45" t="s">
        <v>101</v>
      </c>
      <c r="X151" s="19">
        <f>IF(AO151="5",BH151,0)</f>
        <v>0</v>
      </c>
      <c r="Z151" s="19">
        <f>IF(AO151="1",BF151,0)</f>
        <v>0</v>
      </c>
      <c r="AA151" s="19">
        <f>IF(AO151="1",BG151,0)</f>
        <v>0</v>
      </c>
      <c r="AB151" s="19">
        <f>IF(AO151="7",BF151,0)</f>
        <v>0</v>
      </c>
      <c r="AC151" s="19">
        <f>IF(AO151="7",BG151,0)</f>
        <v>0</v>
      </c>
      <c r="AD151" s="19">
        <f>IF(AO151="2",BF151,0)</f>
        <v>0</v>
      </c>
      <c r="AE151" s="19">
        <f>IF(AO151="2",BG151,0)</f>
        <v>0</v>
      </c>
      <c r="AF151" s="19">
        <f>IF(AO151="0",BH151,0)</f>
        <v>0</v>
      </c>
      <c r="AG151" s="9" t="s">
        <v>36</v>
      </c>
      <c r="AH151" s="19">
        <f>IF(AL151=0,H151,0)</f>
        <v>0</v>
      </c>
      <c r="AI151" s="19">
        <f>IF(AL151=15,H151,0)</f>
        <v>0</v>
      </c>
      <c r="AJ151" s="19">
        <f>IF(AL151=21,H151,0)</f>
        <v>0</v>
      </c>
      <c r="AL151" s="19">
        <v>21</v>
      </c>
      <c r="AM151" s="19">
        <f>G151*0</f>
        <v>0</v>
      </c>
      <c r="AN151" s="19">
        <f>G151*(1-0)</f>
        <v>0</v>
      </c>
      <c r="AO151" s="10" t="s">
        <v>238</v>
      </c>
      <c r="AT151" s="19">
        <f>AU151+AV151</f>
        <v>0</v>
      </c>
      <c r="AU151" s="19">
        <f>E151*AM151</f>
        <v>0</v>
      </c>
      <c r="AV151" s="19">
        <f>E151*AN151</f>
        <v>0</v>
      </c>
      <c r="AW151" s="10" t="s">
        <v>111</v>
      </c>
      <c r="AX151" s="10" t="s">
        <v>126</v>
      </c>
      <c r="AY151" s="9" t="s">
        <v>266</v>
      </c>
      <c r="BA151" s="19">
        <f>AU151+AV151</f>
        <v>0</v>
      </c>
      <c r="BB151" s="19">
        <f>G151/(100-BC151)*100</f>
        <v>0</v>
      </c>
      <c r="BC151" s="19">
        <v>0</v>
      </c>
      <c r="BD151" s="19">
        <f>150</f>
        <v>150</v>
      </c>
      <c r="BF151" s="19">
        <f>E151*AM151</f>
        <v>0</v>
      </c>
      <c r="BG151" s="19">
        <f>E151*AN151</f>
        <v>0</v>
      </c>
      <c r="BH151" s="19">
        <f>E151*G151</f>
        <v>0</v>
      </c>
      <c r="BI151" s="19"/>
      <c r="BJ151" s="19">
        <v>18</v>
      </c>
      <c r="BU151" s="19">
        <v>21</v>
      </c>
    </row>
    <row r="152" spans="1:9" ht="15" customHeight="1">
      <c r="A152" s="3"/>
      <c r="C152" s="4" t="s">
        <v>53</v>
      </c>
      <c r="D152" s="4" t="s">
        <v>38</v>
      </c>
      <c r="E152" s="2">
        <v>45.00000000000001</v>
      </c>
      <c r="I152" s="46"/>
    </row>
    <row r="153" spans="1:9" ht="15" customHeight="1">
      <c r="A153" s="3"/>
      <c r="C153" s="4" t="s">
        <v>82</v>
      </c>
      <c r="D153" s="4" t="s">
        <v>219</v>
      </c>
      <c r="E153" s="2">
        <v>15.000000000000002</v>
      </c>
      <c r="I153" s="46"/>
    </row>
    <row r="154" spans="1:9" ht="15" customHeight="1">
      <c r="A154" s="3"/>
      <c r="C154" s="4" t="s">
        <v>98</v>
      </c>
      <c r="D154" s="4" t="s">
        <v>129</v>
      </c>
      <c r="E154" s="2">
        <v>10</v>
      </c>
      <c r="I154" s="46"/>
    </row>
    <row r="155" spans="1:73" ht="13.5" customHeight="1">
      <c r="A155" s="6">
        <v>38</v>
      </c>
      <c r="B155" s="14" t="s">
        <v>153</v>
      </c>
      <c r="C155" s="106" t="s">
        <v>183</v>
      </c>
      <c r="D155" s="107"/>
      <c r="E155" s="19">
        <v>70</v>
      </c>
      <c r="F155" s="25" t="s">
        <v>234</v>
      </c>
      <c r="G155" s="156">
        <v>0</v>
      </c>
      <c r="H155" s="40">
        <f>ROUND(E155*G155,2)</f>
        <v>0</v>
      </c>
      <c r="I155" s="45" t="s">
        <v>101</v>
      </c>
      <c r="X155" s="19">
        <f>IF(AO155="5",BH155,0)</f>
        <v>0</v>
      </c>
      <c r="Z155" s="19">
        <f>IF(AO155="1",BF155,0)</f>
        <v>0</v>
      </c>
      <c r="AA155" s="19">
        <f>IF(AO155="1",BG155,0)</f>
        <v>0</v>
      </c>
      <c r="AB155" s="19">
        <f>IF(AO155="7",BF155,0)</f>
        <v>0</v>
      </c>
      <c r="AC155" s="19">
        <f>IF(AO155="7",BG155,0)</f>
        <v>0</v>
      </c>
      <c r="AD155" s="19">
        <f>IF(AO155="2",BF155,0)</f>
        <v>0</v>
      </c>
      <c r="AE155" s="19">
        <f>IF(AO155="2",BG155,0)</f>
        <v>0</v>
      </c>
      <c r="AF155" s="19">
        <f>IF(AO155="0",BH155,0)</f>
        <v>0</v>
      </c>
      <c r="AG155" s="9" t="s">
        <v>36</v>
      </c>
      <c r="AH155" s="19">
        <f>IF(AL155=0,H155,0)</f>
        <v>0</v>
      </c>
      <c r="AI155" s="19">
        <f>IF(AL155=15,H155,0)</f>
        <v>0</v>
      </c>
      <c r="AJ155" s="19">
        <f>IF(AL155=21,H155,0)</f>
        <v>0</v>
      </c>
      <c r="AL155" s="19">
        <v>21</v>
      </c>
      <c r="AM155" s="19">
        <f>G155*0</f>
        <v>0</v>
      </c>
      <c r="AN155" s="19">
        <f>G155*(1-0)</f>
        <v>0</v>
      </c>
      <c r="AO155" s="10" t="s">
        <v>238</v>
      </c>
      <c r="AT155" s="19">
        <f>AU155+AV155</f>
        <v>0</v>
      </c>
      <c r="AU155" s="19">
        <f>E155*AM155</f>
        <v>0</v>
      </c>
      <c r="AV155" s="19">
        <f>E155*AN155</f>
        <v>0</v>
      </c>
      <c r="AW155" s="10" t="s">
        <v>111</v>
      </c>
      <c r="AX155" s="10" t="s">
        <v>126</v>
      </c>
      <c r="AY155" s="9" t="s">
        <v>266</v>
      </c>
      <c r="BA155" s="19">
        <f>AU155+AV155</f>
        <v>0</v>
      </c>
      <c r="BB155" s="19">
        <f>G155/(100-BC155)*100</f>
        <v>0</v>
      </c>
      <c r="BC155" s="19">
        <v>0</v>
      </c>
      <c r="BD155" s="19">
        <f>154</f>
        <v>154</v>
      </c>
      <c r="BF155" s="19">
        <f>E155*AM155</f>
        <v>0</v>
      </c>
      <c r="BG155" s="19">
        <f>E155*AN155</f>
        <v>0</v>
      </c>
      <c r="BH155" s="19">
        <f>E155*G155</f>
        <v>0</v>
      </c>
      <c r="BI155" s="19"/>
      <c r="BJ155" s="19">
        <v>18</v>
      </c>
      <c r="BU155" s="19">
        <v>21</v>
      </c>
    </row>
    <row r="156" spans="1:9" ht="15" customHeight="1">
      <c r="A156" s="3"/>
      <c r="C156" s="4" t="s">
        <v>53</v>
      </c>
      <c r="D156" s="4" t="s">
        <v>38</v>
      </c>
      <c r="E156" s="2">
        <v>45.00000000000001</v>
      </c>
      <c r="I156" s="46"/>
    </row>
    <row r="157" spans="1:9" ht="15" customHeight="1">
      <c r="A157" s="3"/>
      <c r="C157" s="4" t="s">
        <v>82</v>
      </c>
      <c r="D157" s="4" t="s">
        <v>219</v>
      </c>
      <c r="E157" s="2">
        <v>15.000000000000002</v>
      </c>
      <c r="I157" s="46"/>
    </row>
    <row r="158" spans="1:9" ht="15" customHeight="1">
      <c r="A158" s="3"/>
      <c r="C158" s="4" t="s">
        <v>98</v>
      </c>
      <c r="D158" s="4" t="s">
        <v>129</v>
      </c>
      <c r="E158" s="2">
        <v>10</v>
      </c>
      <c r="I158" s="46"/>
    </row>
    <row r="159" spans="1:73" ht="13.5" customHeight="1">
      <c r="A159" s="6">
        <v>39</v>
      </c>
      <c r="B159" s="14" t="s">
        <v>153</v>
      </c>
      <c r="C159" s="106" t="s">
        <v>103</v>
      </c>
      <c r="D159" s="107"/>
      <c r="E159" s="19">
        <v>70</v>
      </c>
      <c r="F159" s="25" t="s">
        <v>234</v>
      </c>
      <c r="G159" s="156">
        <v>0</v>
      </c>
      <c r="H159" s="40">
        <f>ROUND(E159*G159,2)</f>
        <v>0</v>
      </c>
      <c r="I159" s="45" t="s">
        <v>101</v>
      </c>
      <c r="X159" s="19">
        <f>IF(AO159="5",BH159,0)</f>
        <v>0</v>
      </c>
      <c r="Z159" s="19">
        <f>IF(AO159="1",BF159,0)</f>
        <v>0</v>
      </c>
      <c r="AA159" s="19">
        <f>IF(AO159="1",BG159,0)</f>
        <v>0</v>
      </c>
      <c r="AB159" s="19">
        <f>IF(AO159="7",BF159,0)</f>
        <v>0</v>
      </c>
      <c r="AC159" s="19">
        <f>IF(AO159="7",BG159,0)</f>
        <v>0</v>
      </c>
      <c r="AD159" s="19">
        <f>IF(AO159="2",BF159,0)</f>
        <v>0</v>
      </c>
      <c r="AE159" s="19">
        <f>IF(AO159="2",BG159,0)</f>
        <v>0</v>
      </c>
      <c r="AF159" s="19">
        <f>IF(AO159="0",BH159,0)</f>
        <v>0</v>
      </c>
      <c r="AG159" s="9" t="s">
        <v>36</v>
      </c>
      <c r="AH159" s="19">
        <f>IF(AL159=0,H159,0)</f>
        <v>0</v>
      </c>
      <c r="AI159" s="19">
        <f>IF(AL159=15,H159,0)</f>
        <v>0</v>
      </c>
      <c r="AJ159" s="19">
        <f>IF(AL159=21,H159,0)</f>
        <v>0</v>
      </c>
      <c r="AL159" s="19">
        <v>21</v>
      </c>
      <c r="AM159" s="19">
        <f>G159*0</f>
        <v>0</v>
      </c>
      <c r="AN159" s="19">
        <f>G159*(1-0)</f>
        <v>0</v>
      </c>
      <c r="AO159" s="10" t="s">
        <v>238</v>
      </c>
      <c r="AT159" s="19">
        <f>AU159+AV159</f>
        <v>0</v>
      </c>
      <c r="AU159" s="19">
        <f>E159*AM159</f>
        <v>0</v>
      </c>
      <c r="AV159" s="19">
        <f>E159*AN159</f>
        <v>0</v>
      </c>
      <c r="AW159" s="10" t="s">
        <v>111</v>
      </c>
      <c r="AX159" s="10" t="s">
        <v>126</v>
      </c>
      <c r="AY159" s="9" t="s">
        <v>266</v>
      </c>
      <c r="BA159" s="19">
        <f>AU159+AV159</f>
        <v>0</v>
      </c>
      <c r="BB159" s="19">
        <f>G159/(100-BC159)*100</f>
        <v>0</v>
      </c>
      <c r="BC159" s="19">
        <v>0</v>
      </c>
      <c r="BD159" s="19">
        <f>158</f>
        <v>158</v>
      </c>
      <c r="BF159" s="19">
        <f>E159*AM159</f>
        <v>0</v>
      </c>
      <c r="BG159" s="19">
        <f>E159*AN159</f>
        <v>0</v>
      </c>
      <c r="BH159" s="19">
        <f>E159*G159</f>
        <v>0</v>
      </c>
      <c r="BI159" s="19"/>
      <c r="BJ159" s="19">
        <v>18</v>
      </c>
      <c r="BU159" s="19">
        <v>21</v>
      </c>
    </row>
    <row r="160" spans="1:9" ht="15" customHeight="1">
      <c r="A160" s="3"/>
      <c r="C160" s="4" t="s">
        <v>53</v>
      </c>
      <c r="D160" s="4" t="s">
        <v>38</v>
      </c>
      <c r="E160" s="2">
        <v>45.00000000000001</v>
      </c>
      <c r="I160" s="46"/>
    </row>
    <row r="161" spans="1:9" ht="15" customHeight="1">
      <c r="A161" s="3"/>
      <c r="C161" s="4" t="s">
        <v>82</v>
      </c>
      <c r="D161" s="4" t="s">
        <v>219</v>
      </c>
      <c r="E161" s="2">
        <v>15.000000000000002</v>
      </c>
      <c r="I161" s="46"/>
    </row>
    <row r="162" spans="1:9" ht="15" customHeight="1">
      <c r="A162" s="3"/>
      <c r="C162" s="4" t="s">
        <v>98</v>
      </c>
      <c r="D162" s="4" t="s">
        <v>129</v>
      </c>
      <c r="E162" s="2">
        <v>10</v>
      </c>
      <c r="I162" s="46"/>
    </row>
    <row r="163" spans="1:73" ht="13.5" customHeight="1">
      <c r="A163" s="6">
        <v>40</v>
      </c>
      <c r="B163" s="14" t="s">
        <v>153</v>
      </c>
      <c r="C163" s="106" t="s">
        <v>6</v>
      </c>
      <c r="D163" s="107"/>
      <c r="E163" s="19">
        <v>70</v>
      </c>
      <c r="F163" s="25" t="s">
        <v>234</v>
      </c>
      <c r="G163" s="156">
        <v>0</v>
      </c>
      <c r="H163" s="40">
        <f>ROUND(E163*G163,2)</f>
        <v>0</v>
      </c>
      <c r="I163" s="45" t="s">
        <v>101</v>
      </c>
      <c r="X163" s="19">
        <f>IF(AO163="5",BH163,0)</f>
        <v>0</v>
      </c>
      <c r="Z163" s="19">
        <f>IF(AO163="1",BF163,0)</f>
        <v>0</v>
      </c>
      <c r="AA163" s="19">
        <f>IF(AO163="1",BG163,0)</f>
        <v>0</v>
      </c>
      <c r="AB163" s="19">
        <f>IF(AO163="7",BF163,0)</f>
        <v>0</v>
      </c>
      <c r="AC163" s="19">
        <f>IF(AO163="7",BG163,0)</f>
        <v>0</v>
      </c>
      <c r="AD163" s="19">
        <f>IF(AO163="2",BF163,0)</f>
        <v>0</v>
      </c>
      <c r="AE163" s="19">
        <f>IF(AO163="2",BG163,0)</f>
        <v>0</v>
      </c>
      <c r="AF163" s="19">
        <f>IF(AO163="0",BH163,0)</f>
        <v>0</v>
      </c>
      <c r="AG163" s="9" t="s">
        <v>36</v>
      </c>
      <c r="AH163" s="19">
        <f>IF(AL163=0,H163,0)</f>
        <v>0</v>
      </c>
      <c r="AI163" s="19">
        <f>IF(AL163=15,H163,0)</f>
        <v>0</v>
      </c>
      <c r="AJ163" s="19">
        <f>IF(AL163=21,H163,0)</f>
        <v>0</v>
      </c>
      <c r="AL163" s="19">
        <v>21</v>
      </c>
      <c r="AM163" s="19">
        <f>G163*0</f>
        <v>0</v>
      </c>
      <c r="AN163" s="19">
        <f>G163*(1-0)</f>
        <v>0</v>
      </c>
      <c r="AO163" s="10" t="s">
        <v>238</v>
      </c>
      <c r="AT163" s="19">
        <f>AU163+AV163</f>
        <v>0</v>
      </c>
      <c r="AU163" s="19">
        <f>E163*AM163</f>
        <v>0</v>
      </c>
      <c r="AV163" s="19">
        <f>E163*AN163</f>
        <v>0</v>
      </c>
      <c r="AW163" s="10" t="s">
        <v>111</v>
      </c>
      <c r="AX163" s="10" t="s">
        <v>126</v>
      </c>
      <c r="AY163" s="9" t="s">
        <v>266</v>
      </c>
      <c r="BA163" s="19">
        <f>AU163+AV163</f>
        <v>0</v>
      </c>
      <c r="BB163" s="19">
        <f>G163/(100-BC163)*100</f>
        <v>0</v>
      </c>
      <c r="BC163" s="19">
        <v>0</v>
      </c>
      <c r="BD163" s="19">
        <f>162</f>
        <v>162</v>
      </c>
      <c r="BF163" s="19">
        <f>E163*AM163</f>
        <v>0</v>
      </c>
      <c r="BG163" s="19">
        <f>E163*AN163</f>
        <v>0</v>
      </c>
      <c r="BH163" s="19">
        <f>E163*G163</f>
        <v>0</v>
      </c>
      <c r="BI163" s="19"/>
      <c r="BJ163" s="19">
        <v>18</v>
      </c>
      <c r="BU163" s="19">
        <v>21</v>
      </c>
    </row>
    <row r="164" spans="1:9" ht="15" customHeight="1">
      <c r="A164" s="3"/>
      <c r="C164" s="4" t="s">
        <v>53</v>
      </c>
      <c r="D164" s="4" t="s">
        <v>38</v>
      </c>
      <c r="E164" s="2">
        <v>45.00000000000001</v>
      </c>
      <c r="I164" s="46"/>
    </row>
    <row r="165" spans="1:9" ht="15" customHeight="1">
      <c r="A165" s="3"/>
      <c r="C165" s="4" t="s">
        <v>82</v>
      </c>
      <c r="D165" s="4" t="s">
        <v>219</v>
      </c>
      <c r="E165" s="2">
        <v>15.000000000000002</v>
      </c>
      <c r="I165" s="46"/>
    </row>
    <row r="166" spans="1:9" ht="15" customHeight="1">
      <c r="A166" s="3"/>
      <c r="C166" s="4" t="s">
        <v>98</v>
      </c>
      <c r="D166" s="4" t="s">
        <v>129</v>
      </c>
      <c r="E166" s="2">
        <v>10</v>
      </c>
      <c r="I166" s="46"/>
    </row>
    <row r="167" spans="1:73" ht="13.5" customHeight="1">
      <c r="A167" s="6">
        <v>41</v>
      </c>
      <c r="B167" s="14" t="s">
        <v>97</v>
      </c>
      <c r="C167" s="106" t="s">
        <v>156</v>
      </c>
      <c r="D167" s="107"/>
      <c r="E167" s="19">
        <v>220</v>
      </c>
      <c r="F167" s="25" t="s">
        <v>234</v>
      </c>
      <c r="G167" s="156">
        <v>0</v>
      </c>
      <c r="H167" s="40">
        <f>ROUND(E167*G167,2)</f>
        <v>0</v>
      </c>
      <c r="I167" s="45" t="s">
        <v>101</v>
      </c>
      <c r="X167" s="19">
        <f>IF(AO167="5",BH167,0)</f>
        <v>0</v>
      </c>
      <c r="Z167" s="19">
        <f>IF(AO167="1",BF167,0)</f>
        <v>0</v>
      </c>
      <c r="AA167" s="19">
        <f>IF(AO167="1",BG167,0)</f>
        <v>0</v>
      </c>
      <c r="AB167" s="19">
        <f>IF(AO167="7",BF167,0)</f>
        <v>0</v>
      </c>
      <c r="AC167" s="19">
        <f>IF(AO167="7",BG167,0)</f>
        <v>0</v>
      </c>
      <c r="AD167" s="19">
        <f>IF(AO167="2",BF167,0)</f>
        <v>0</v>
      </c>
      <c r="AE167" s="19">
        <f>IF(AO167="2",BG167,0)</f>
        <v>0</v>
      </c>
      <c r="AF167" s="19">
        <f>IF(AO167="0",BH167,0)</f>
        <v>0</v>
      </c>
      <c r="AG167" s="9" t="s">
        <v>36</v>
      </c>
      <c r="AH167" s="19">
        <f>IF(AL167=0,H167,0)</f>
        <v>0</v>
      </c>
      <c r="AI167" s="19">
        <f>IF(AL167=15,H167,0)</f>
        <v>0</v>
      </c>
      <c r="AJ167" s="19">
        <f>IF(AL167=21,H167,0)</f>
        <v>0</v>
      </c>
      <c r="AL167" s="19">
        <v>21</v>
      </c>
      <c r="AM167" s="19">
        <f>G167*0.012326656394453</f>
        <v>0</v>
      </c>
      <c r="AN167" s="19">
        <f>G167*(1-0.012326656394453)</f>
        <v>0</v>
      </c>
      <c r="AO167" s="10" t="s">
        <v>238</v>
      </c>
      <c r="AT167" s="19">
        <f>AU167+AV167</f>
        <v>0</v>
      </c>
      <c r="AU167" s="19">
        <f>E167*AM167</f>
        <v>0</v>
      </c>
      <c r="AV167" s="19">
        <f>E167*AN167</f>
        <v>0</v>
      </c>
      <c r="AW167" s="10" t="s">
        <v>111</v>
      </c>
      <c r="AX167" s="10" t="s">
        <v>126</v>
      </c>
      <c r="AY167" s="9" t="s">
        <v>266</v>
      </c>
      <c r="BA167" s="19">
        <f>AU167+AV167</f>
        <v>0</v>
      </c>
      <c r="BB167" s="19">
        <f>G167/(100-BC167)*100</f>
        <v>0</v>
      </c>
      <c r="BC167" s="19">
        <v>0</v>
      </c>
      <c r="BD167" s="19">
        <f>166</f>
        <v>166</v>
      </c>
      <c r="BF167" s="19">
        <f>E167*AM167</f>
        <v>0</v>
      </c>
      <c r="BG167" s="19">
        <f>E167*AN167</f>
        <v>0</v>
      </c>
      <c r="BH167" s="19">
        <f>E167*G167</f>
        <v>0</v>
      </c>
      <c r="BI167" s="19"/>
      <c r="BJ167" s="19">
        <v>18</v>
      </c>
      <c r="BU167" s="19">
        <v>21</v>
      </c>
    </row>
    <row r="168" spans="1:9" ht="13.5" customHeight="1">
      <c r="A168" s="3"/>
      <c r="B168" s="1" t="s">
        <v>114</v>
      </c>
      <c r="C168" s="159" t="s">
        <v>187</v>
      </c>
      <c r="D168" s="159"/>
      <c r="E168" s="159"/>
      <c r="F168" s="159"/>
      <c r="G168" s="159"/>
      <c r="H168" s="159"/>
      <c r="I168" s="160"/>
    </row>
    <row r="169" spans="1:9" ht="15" customHeight="1">
      <c r="A169" s="3"/>
      <c r="C169" s="4" t="s">
        <v>75</v>
      </c>
      <c r="D169" s="4" t="s">
        <v>139</v>
      </c>
      <c r="E169" s="2">
        <v>150</v>
      </c>
      <c r="I169" s="46"/>
    </row>
    <row r="170" spans="1:9" ht="15" customHeight="1">
      <c r="A170" s="3"/>
      <c r="C170" s="4" t="s">
        <v>268</v>
      </c>
      <c r="D170" s="4" t="s">
        <v>255</v>
      </c>
      <c r="E170" s="2">
        <v>70</v>
      </c>
      <c r="I170" s="46"/>
    </row>
    <row r="171" spans="1:73" ht="13.5" customHeight="1">
      <c r="A171" s="48">
        <v>42</v>
      </c>
      <c r="B171" s="49" t="s">
        <v>69</v>
      </c>
      <c r="C171" s="112" t="s">
        <v>56</v>
      </c>
      <c r="D171" s="113"/>
      <c r="E171" s="50">
        <v>5</v>
      </c>
      <c r="F171" s="49" t="s">
        <v>99</v>
      </c>
      <c r="G171" s="158">
        <v>0</v>
      </c>
      <c r="H171" s="51">
        <f>ROUND(E171*G171,2)</f>
        <v>0</v>
      </c>
      <c r="I171" s="52" t="s">
        <v>101</v>
      </c>
      <c r="X171" s="19">
        <f>IF(AO171="5",BH171,0)</f>
        <v>0</v>
      </c>
      <c r="Z171" s="19">
        <f>IF(AO171="1",BF171,0)</f>
        <v>0</v>
      </c>
      <c r="AA171" s="19">
        <f>IF(AO171="1",BG171,0)</f>
        <v>0</v>
      </c>
      <c r="AB171" s="19">
        <f>IF(AO171="7",BF171,0)</f>
        <v>0</v>
      </c>
      <c r="AC171" s="19">
        <f>IF(AO171="7",BG171,0)</f>
        <v>0</v>
      </c>
      <c r="AD171" s="19">
        <f>IF(AO171="2",BF171,0)</f>
        <v>0</v>
      </c>
      <c r="AE171" s="19">
        <f>IF(AO171="2",BG171,0)</f>
        <v>0</v>
      </c>
      <c r="AF171" s="19">
        <f>IF(AO171="0",BH171,0)</f>
        <v>0</v>
      </c>
      <c r="AG171" s="9" t="s">
        <v>36</v>
      </c>
      <c r="AH171" s="19">
        <f>IF(AL171=0,H171,0)</f>
        <v>0</v>
      </c>
      <c r="AI171" s="19">
        <f>IF(AL171=15,H171,0)</f>
        <v>0</v>
      </c>
      <c r="AJ171" s="19">
        <f>IF(AL171=21,H171,0)</f>
        <v>0</v>
      </c>
      <c r="AL171" s="19">
        <v>21</v>
      </c>
      <c r="AM171" s="19">
        <f>G171*1</f>
        <v>0</v>
      </c>
      <c r="AN171" s="19">
        <f>G171*(1-1)</f>
        <v>0</v>
      </c>
      <c r="AO171" s="10" t="s">
        <v>238</v>
      </c>
      <c r="AT171" s="19">
        <f>AU171+AV171</f>
        <v>0</v>
      </c>
      <c r="AU171" s="19">
        <f>E171*AM171</f>
        <v>0</v>
      </c>
      <c r="AV171" s="19">
        <f>E171*AN171</f>
        <v>0</v>
      </c>
      <c r="AW171" s="10" t="s">
        <v>111</v>
      </c>
      <c r="AX171" s="10" t="s">
        <v>126</v>
      </c>
      <c r="AY171" s="9" t="s">
        <v>266</v>
      </c>
      <c r="BA171" s="19">
        <f>AU171+AV171</f>
        <v>0</v>
      </c>
      <c r="BB171" s="19">
        <f>G171/(100-BC171)*100</f>
        <v>0</v>
      </c>
      <c r="BC171" s="19">
        <v>0</v>
      </c>
      <c r="BD171" s="19">
        <f>170</f>
        <v>170</v>
      </c>
      <c r="BF171" s="19">
        <f>E171*AM171</f>
        <v>0</v>
      </c>
      <c r="BG171" s="19">
        <f>E171*AN171</f>
        <v>0</v>
      </c>
      <c r="BH171" s="19">
        <f>E171*G171</f>
        <v>0</v>
      </c>
      <c r="BI171" s="19"/>
      <c r="BJ171" s="19">
        <v>18</v>
      </c>
      <c r="BU171" s="19">
        <v>21</v>
      </c>
    </row>
    <row r="172" spans="3:4" ht="15" customHeight="1" thickBot="1">
      <c r="C172" s="111"/>
      <c r="D172" s="107"/>
    </row>
    <row r="173" spans="1:9" s="56" customFormat="1" ht="18.75" customHeight="1" thickBot="1">
      <c r="A173" s="54" t="s">
        <v>297</v>
      </c>
      <c r="B173" s="53"/>
      <c r="C173" s="54" t="s">
        <v>288</v>
      </c>
      <c r="D173" s="53"/>
      <c r="E173" s="53"/>
      <c r="F173" s="53"/>
      <c r="G173" s="53"/>
      <c r="H173" s="63">
        <f>H105+H46+H13</f>
        <v>0</v>
      </c>
      <c r="I173" s="55"/>
    </row>
    <row r="175" spans="1:9" ht="15" customHeight="1">
      <c r="A175" s="101" t="s">
        <v>296</v>
      </c>
      <c r="B175" s="101"/>
      <c r="C175" s="101"/>
      <c r="D175" s="101"/>
      <c r="E175" s="101"/>
      <c r="F175" s="101"/>
      <c r="G175" s="101"/>
      <c r="H175" s="101"/>
      <c r="I175" s="101"/>
    </row>
    <row r="176" spans="3:7" ht="15" customHeight="1">
      <c r="C176" s="64"/>
      <c r="D176" s="64"/>
      <c r="E176" s="64"/>
      <c r="F176" s="64"/>
      <c r="G176" s="64"/>
    </row>
    <row r="177" spans="1:7" ht="17.25" customHeight="1">
      <c r="A177" s="80" t="s">
        <v>294</v>
      </c>
      <c r="D177" s="65"/>
      <c r="E177" s="66"/>
      <c r="F177" s="67"/>
      <c r="G177" s="68"/>
    </row>
    <row r="178" spans="1:7" ht="17.25" customHeight="1">
      <c r="A178" s="79" t="s">
        <v>303</v>
      </c>
      <c r="D178" s="65"/>
      <c r="E178" s="66"/>
      <c r="F178" s="69"/>
      <c r="G178" s="70"/>
    </row>
    <row r="179" spans="1:7" ht="17.25" customHeight="1">
      <c r="A179" s="79" t="s">
        <v>295</v>
      </c>
      <c r="D179" s="65"/>
      <c r="E179" s="66"/>
      <c r="F179" s="69"/>
      <c r="G179" s="70"/>
    </row>
  </sheetData>
  <sheetProtection password="C014" sheet="1" sort="0" autoFilter="0"/>
  <autoFilter ref="A12:I173"/>
  <mergeCells count="64">
    <mergeCell ref="C172:D172"/>
    <mergeCell ref="C10:D11"/>
    <mergeCell ref="A10:A11"/>
    <mergeCell ref="B10:B11"/>
    <mergeCell ref="E10:E11"/>
    <mergeCell ref="F10:F11"/>
    <mergeCell ref="C147:D147"/>
    <mergeCell ref="C151:D151"/>
    <mergeCell ref="C155:D155"/>
    <mergeCell ref="C159:D159"/>
    <mergeCell ref="C171:D171"/>
    <mergeCell ref="C98:D98"/>
    <mergeCell ref="C101:D101"/>
    <mergeCell ref="C105:D105"/>
    <mergeCell ref="C106:D106"/>
    <mergeCell ref="C163:D163"/>
    <mergeCell ref="C167:D167"/>
    <mergeCell ref="C107:D107"/>
    <mergeCell ref="C86:D86"/>
    <mergeCell ref="C88:D88"/>
    <mergeCell ref="C93:D93"/>
    <mergeCell ref="C94:D94"/>
    <mergeCell ref="C118:D118"/>
    <mergeCell ref="C129:D129"/>
    <mergeCell ref="C141:D141"/>
    <mergeCell ref="C97:F97"/>
    <mergeCell ref="C72:D72"/>
    <mergeCell ref="C76:D76"/>
    <mergeCell ref="C78:I78"/>
    <mergeCell ref="C79:D79"/>
    <mergeCell ref="C82:D82"/>
    <mergeCell ref="C64:D64"/>
    <mergeCell ref="C66:D66"/>
    <mergeCell ref="C68:D68"/>
    <mergeCell ref="C70:D70"/>
    <mergeCell ref="C63:F63"/>
    <mergeCell ref="C54:D54"/>
    <mergeCell ref="C57:D57"/>
    <mergeCell ref="C59:D59"/>
    <mergeCell ref="C61:D61"/>
    <mergeCell ref="C44:D44"/>
    <mergeCell ref="C46:D46"/>
    <mergeCell ref="C47:D47"/>
    <mergeCell ref="C48:D48"/>
    <mergeCell ref="C52:D52"/>
    <mergeCell ref="C37:D37"/>
    <mergeCell ref="C38:D38"/>
    <mergeCell ref="C42:D42"/>
    <mergeCell ref="C43:D43"/>
    <mergeCell ref="C23:D23"/>
    <mergeCell ref="C25:D25"/>
    <mergeCell ref="C28:D28"/>
    <mergeCell ref="C29:D29"/>
    <mergeCell ref="C34:D34"/>
    <mergeCell ref="A2:I2"/>
    <mergeCell ref="A3:I3"/>
    <mergeCell ref="A1:I1"/>
    <mergeCell ref="A175:I175"/>
    <mergeCell ref="C13:D13"/>
    <mergeCell ref="C14:D14"/>
    <mergeCell ref="C15:D15"/>
    <mergeCell ref="C17:D17"/>
    <mergeCell ref="C19:D19"/>
    <mergeCell ref="C21:D21"/>
  </mergeCells>
  <printOptions/>
  <pageMargins left="0.3937007874015748" right="0.3937007874015748" top="0.5511811023622047" bottom="0.5905511811023623" header="0" footer="0"/>
  <pageSetup firstPageNumber="1" useFirstPageNumber="1" fitToHeight="0" fitToWidth="1" horizontalDpi="600" verticalDpi="600" orientation="landscape" paperSize="9" scale="92" r:id="rId4"/>
  <headerFooter alignWithMargins="0">
    <oddFooter>&amp;R&amp;9Strana &amp;P/&amp;N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126" t="s">
        <v>31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128" t="s">
        <v>13</v>
      </c>
      <c r="B2" s="129"/>
      <c r="C2" s="140" t="e">
        <f>'výkaz výměr'!#REF!</f>
        <v>#REF!</v>
      </c>
      <c r="D2" s="141"/>
      <c r="E2" s="133" t="s">
        <v>200</v>
      </c>
      <c r="F2" s="133" t="e">
        <f>'výkaz výměr'!#REF!</f>
        <v>#REF!</v>
      </c>
      <c r="G2" s="129"/>
      <c r="H2" s="133" t="s">
        <v>149</v>
      </c>
      <c r="I2" s="134" t="s">
        <v>29</v>
      </c>
    </row>
    <row r="3" spans="1:9" ht="39" customHeight="1">
      <c r="A3" s="130"/>
      <c r="B3" s="107"/>
      <c r="C3" s="142"/>
      <c r="D3" s="142"/>
      <c r="E3" s="107"/>
      <c r="F3" s="107"/>
      <c r="G3" s="107"/>
      <c r="H3" s="107"/>
      <c r="I3" s="135"/>
    </row>
    <row r="4" spans="1:9" ht="15" customHeight="1">
      <c r="A4" s="131" t="s">
        <v>124</v>
      </c>
      <c r="B4" s="107"/>
      <c r="C4" s="106" t="e">
        <f>'výkaz výměr'!#REF!</f>
        <v>#REF!</v>
      </c>
      <c r="D4" s="107"/>
      <c r="E4" s="106" t="s">
        <v>161</v>
      </c>
      <c r="F4" s="106" t="e">
        <f>'výkaz výměr'!#REF!</f>
        <v>#REF!</v>
      </c>
      <c r="G4" s="107"/>
      <c r="H4" s="106" t="s">
        <v>149</v>
      </c>
      <c r="I4" s="135" t="s">
        <v>61</v>
      </c>
    </row>
    <row r="5" spans="1:9" ht="15" customHeight="1">
      <c r="A5" s="130"/>
      <c r="B5" s="107"/>
      <c r="C5" s="107"/>
      <c r="D5" s="107"/>
      <c r="E5" s="107"/>
      <c r="F5" s="107"/>
      <c r="G5" s="107"/>
      <c r="H5" s="107"/>
      <c r="I5" s="135"/>
    </row>
    <row r="6" spans="1:9" ht="15" customHeight="1">
      <c r="A6" s="131" t="s">
        <v>17</v>
      </c>
      <c r="B6" s="107"/>
      <c r="C6" s="106" t="str">
        <f>'výkaz výměr'!C5</f>
        <v>Dominikánská 264/2, 601 69 Brno</v>
      </c>
      <c r="D6" s="107"/>
      <c r="E6" s="106" t="s">
        <v>206</v>
      </c>
      <c r="F6" s="106" t="e">
        <f>'výkaz výměr'!#REF!</f>
        <v>#REF!</v>
      </c>
      <c r="G6" s="107"/>
      <c r="H6" s="106" t="s">
        <v>149</v>
      </c>
      <c r="I6" s="135" t="s">
        <v>162</v>
      </c>
    </row>
    <row r="7" spans="1:9" ht="25.5" customHeight="1">
      <c r="A7" s="130"/>
      <c r="B7" s="107"/>
      <c r="C7" s="107"/>
      <c r="D7" s="107"/>
      <c r="E7" s="107"/>
      <c r="F7" s="107"/>
      <c r="G7" s="107"/>
      <c r="H7" s="107"/>
      <c r="I7" s="135"/>
    </row>
    <row r="8" spans="1:9" ht="15" customHeight="1">
      <c r="A8" s="131" t="s">
        <v>211</v>
      </c>
      <c r="B8" s="107"/>
      <c r="C8" s="106" t="e">
        <f>'výkaz výměr'!#REF!</f>
        <v>#REF!</v>
      </c>
      <c r="D8" s="107"/>
      <c r="E8" s="106" t="s">
        <v>67</v>
      </c>
      <c r="F8" s="106" t="str">
        <f>'výkaz výměr'!C8</f>
        <v>Dopište název společnosti ……………………..</v>
      </c>
      <c r="G8" s="107"/>
      <c r="H8" s="107" t="s">
        <v>242</v>
      </c>
      <c r="I8" s="136">
        <v>43</v>
      </c>
    </row>
    <row r="9" spans="1:9" ht="15" customHeight="1">
      <c r="A9" s="130"/>
      <c r="B9" s="107"/>
      <c r="C9" s="107"/>
      <c r="D9" s="107"/>
      <c r="E9" s="107"/>
      <c r="F9" s="107"/>
      <c r="G9" s="107"/>
      <c r="H9" s="107"/>
      <c r="I9" s="135"/>
    </row>
    <row r="10" spans="1:9" ht="15" customHeight="1">
      <c r="A10" s="131" t="s">
        <v>109</v>
      </c>
      <c r="B10" s="107"/>
      <c r="C10" s="106">
        <f>'výkaz výměr'!C9</f>
        <v>0</v>
      </c>
      <c r="D10" s="107"/>
      <c r="E10" s="106" t="s">
        <v>152</v>
      </c>
      <c r="F10" s="106" t="e">
        <f>'výkaz výměr'!#REF!</f>
        <v>#REF!</v>
      </c>
      <c r="G10" s="107"/>
      <c r="H10" s="107" t="s">
        <v>232</v>
      </c>
      <c r="I10" s="137">
        <f>'výkaz výměr'!G9</f>
        <v>0</v>
      </c>
    </row>
    <row r="11" spans="1:9" ht="15" customHeight="1">
      <c r="A11" s="146"/>
      <c r="B11" s="132"/>
      <c r="C11" s="132"/>
      <c r="D11" s="132"/>
      <c r="E11" s="132"/>
      <c r="F11" s="132"/>
      <c r="G11" s="132"/>
      <c r="H11" s="132"/>
      <c r="I11" s="138"/>
    </row>
    <row r="13" spans="1:5" ht="15.75" customHeight="1">
      <c r="A13" s="139" t="s">
        <v>81</v>
      </c>
      <c r="B13" s="139"/>
      <c r="C13" s="139"/>
      <c r="D13" s="139"/>
      <c r="E13" s="139"/>
    </row>
    <row r="14" spans="1:9" ht="15" customHeight="1">
      <c r="A14" s="143" t="s">
        <v>264</v>
      </c>
      <c r="B14" s="144"/>
      <c r="C14" s="144"/>
      <c r="D14" s="144"/>
      <c r="E14" s="145"/>
      <c r="F14" s="7" t="s">
        <v>252</v>
      </c>
      <c r="G14" s="7" t="s">
        <v>207</v>
      </c>
      <c r="H14" s="7" t="s">
        <v>50</v>
      </c>
      <c r="I14" s="7" t="s">
        <v>252</v>
      </c>
    </row>
    <row r="15" spans="1:9" ht="15" customHeight="1">
      <c r="A15" s="146" t="s">
        <v>169</v>
      </c>
      <c r="B15" s="132"/>
      <c r="C15" s="132"/>
      <c r="D15" s="132"/>
      <c r="E15" s="138"/>
      <c r="F15" s="11">
        <v>0</v>
      </c>
      <c r="G15" s="17" t="s">
        <v>162</v>
      </c>
      <c r="H15" s="17" t="s">
        <v>162</v>
      </c>
      <c r="I15" s="11">
        <f>F15</f>
        <v>0</v>
      </c>
    </row>
    <row r="16" spans="1:9" ht="15" customHeight="1">
      <c r="A16" s="146" t="s">
        <v>20</v>
      </c>
      <c r="B16" s="132"/>
      <c r="C16" s="132"/>
      <c r="D16" s="132"/>
      <c r="E16" s="138"/>
      <c r="F16" s="11">
        <v>0</v>
      </c>
      <c r="G16" s="17" t="s">
        <v>162</v>
      </c>
      <c r="H16" s="17" t="s">
        <v>162</v>
      </c>
      <c r="I16" s="11">
        <f>F16</f>
        <v>0</v>
      </c>
    </row>
    <row r="17" spans="1:9" ht="15" customHeight="1">
      <c r="A17" s="130" t="s">
        <v>174</v>
      </c>
      <c r="B17" s="107"/>
      <c r="C17" s="107"/>
      <c r="D17" s="107"/>
      <c r="E17" s="135"/>
      <c r="F17" s="13">
        <v>0</v>
      </c>
      <c r="G17" s="12" t="s">
        <v>162</v>
      </c>
      <c r="H17" s="12" t="s">
        <v>162</v>
      </c>
      <c r="I17" s="13">
        <f>F17</f>
        <v>0</v>
      </c>
    </row>
    <row r="18" spans="1:9" ht="15" customHeight="1">
      <c r="A18" s="147" t="s">
        <v>258</v>
      </c>
      <c r="B18" s="148"/>
      <c r="C18" s="148"/>
      <c r="D18" s="148"/>
      <c r="E18" s="149"/>
      <c r="F18" s="15" t="s">
        <v>162</v>
      </c>
      <c r="G18" s="18" t="s">
        <v>162</v>
      </c>
      <c r="H18" s="18" t="s">
        <v>162</v>
      </c>
      <c r="I18" s="5">
        <f>SUM(I15:I17)</f>
        <v>0</v>
      </c>
    </row>
    <row r="20" spans="1:9" ht="15" customHeight="1">
      <c r="A20" s="143" t="s">
        <v>39</v>
      </c>
      <c r="B20" s="144"/>
      <c r="C20" s="144"/>
      <c r="D20" s="144"/>
      <c r="E20" s="145"/>
      <c r="F20" s="7" t="s">
        <v>252</v>
      </c>
      <c r="G20" s="7" t="s">
        <v>207</v>
      </c>
      <c r="H20" s="7" t="s">
        <v>50</v>
      </c>
      <c r="I20" s="7" t="s">
        <v>252</v>
      </c>
    </row>
    <row r="21" spans="1:9" ht="15" customHeight="1">
      <c r="A21" s="146" t="s">
        <v>23</v>
      </c>
      <c r="B21" s="132"/>
      <c r="C21" s="132"/>
      <c r="D21" s="132"/>
      <c r="E21" s="138"/>
      <c r="F21" s="11">
        <v>0</v>
      </c>
      <c r="G21" s="17" t="s">
        <v>162</v>
      </c>
      <c r="H21" s="17" t="s">
        <v>162</v>
      </c>
      <c r="I21" s="11">
        <f aca="true" t="shared" si="0" ref="I21:I26">F21</f>
        <v>0</v>
      </c>
    </row>
    <row r="22" spans="1:9" ht="15" customHeight="1">
      <c r="A22" s="146" t="s">
        <v>185</v>
      </c>
      <c r="B22" s="132"/>
      <c r="C22" s="132"/>
      <c r="D22" s="132"/>
      <c r="E22" s="138"/>
      <c r="F22" s="11">
        <v>0</v>
      </c>
      <c r="G22" s="17" t="s">
        <v>162</v>
      </c>
      <c r="H22" s="17" t="s">
        <v>162</v>
      </c>
      <c r="I22" s="11">
        <f t="shared" si="0"/>
        <v>0</v>
      </c>
    </row>
    <row r="23" spans="1:9" ht="15" customHeight="1">
      <c r="A23" s="146" t="s">
        <v>229</v>
      </c>
      <c r="B23" s="132"/>
      <c r="C23" s="132"/>
      <c r="D23" s="132"/>
      <c r="E23" s="138"/>
      <c r="F23" s="11">
        <v>0</v>
      </c>
      <c r="G23" s="17" t="s">
        <v>162</v>
      </c>
      <c r="H23" s="17" t="s">
        <v>162</v>
      </c>
      <c r="I23" s="11">
        <f t="shared" si="0"/>
        <v>0</v>
      </c>
    </row>
    <row r="24" spans="1:9" ht="15" customHeight="1">
      <c r="A24" s="146" t="s">
        <v>118</v>
      </c>
      <c r="B24" s="132"/>
      <c r="C24" s="132"/>
      <c r="D24" s="132"/>
      <c r="E24" s="138"/>
      <c r="F24" s="11">
        <v>0</v>
      </c>
      <c r="G24" s="17" t="s">
        <v>162</v>
      </c>
      <c r="H24" s="17" t="s">
        <v>162</v>
      </c>
      <c r="I24" s="11">
        <f t="shared" si="0"/>
        <v>0</v>
      </c>
    </row>
    <row r="25" spans="1:9" ht="15" customHeight="1">
      <c r="A25" s="146" t="s">
        <v>151</v>
      </c>
      <c r="B25" s="132"/>
      <c r="C25" s="132"/>
      <c r="D25" s="132"/>
      <c r="E25" s="138"/>
      <c r="F25" s="11">
        <v>0</v>
      </c>
      <c r="G25" s="17" t="s">
        <v>162</v>
      </c>
      <c r="H25" s="17" t="s">
        <v>162</v>
      </c>
      <c r="I25" s="11">
        <f t="shared" si="0"/>
        <v>0</v>
      </c>
    </row>
    <row r="26" spans="1:9" ht="15" customHeight="1">
      <c r="A26" s="130" t="s">
        <v>235</v>
      </c>
      <c r="B26" s="107"/>
      <c r="C26" s="107"/>
      <c r="D26" s="107"/>
      <c r="E26" s="135"/>
      <c r="F26" s="13">
        <v>0</v>
      </c>
      <c r="G26" s="12" t="s">
        <v>162</v>
      </c>
      <c r="H26" s="12" t="s">
        <v>162</v>
      </c>
      <c r="I26" s="13">
        <f t="shared" si="0"/>
        <v>0</v>
      </c>
    </row>
    <row r="27" spans="1:9" ht="15" customHeight="1">
      <c r="A27" s="147" t="s">
        <v>88</v>
      </c>
      <c r="B27" s="148"/>
      <c r="C27" s="148"/>
      <c r="D27" s="148"/>
      <c r="E27" s="149"/>
      <c r="F27" s="15" t="s">
        <v>162</v>
      </c>
      <c r="G27" s="18" t="s">
        <v>162</v>
      </c>
      <c r="H27" s="18" t="s">
        <v>162</v>
      </c>
      <c r="I27" s="5">
        <f>SUM(I21:I26)</f>
        <v>0</v>
      </c>
    </row>
    <row r="29" spans="1:9" ht="15.75" customHeight="1">
      <c r="A29" s="150" t="s">
        <v>254</v>
      </c>
      <c r="B29" s="151"/>
      <c r="C29" s="151"/>
      <c r="D29" s="151"/>
      <c r="E29" s="152"/>
      <c r="F29" s="153">
        <f>I18+I27</f>
        <v>0</v>
      </c>
      <c r="G29" s="154"/>
      <c r="H29" s="154"/>
      <c r="I29" s="155"/>
    </row>
    <row r="33" spans="1:5" ht="15.75" customHeight="1">
      <c r="A33" s="139" t="s">
        <v>248</v>
      </c>
      <c r="B33" s="139"/>
      <c r="C33" s="139"/>
      <c r="D33" s="139"/>
      <c r="E33" s="139"/>
    </row>
    <row r="34" spans="1:9" ht="15" customHeight="1">
      <c r="A34" s="143" t="s">
        <v>257</v>
      </c>
      <c r="B34" s="144"/>
      <c r="C34" s="144"/>
      <c r="D34" s="144"/>
      <c r="E34" s="145"/>
      <c r="F34" s="7" t="s">
        <v>252</v>
      </c>
      <c r="G34" s="7" t="s">
        <v>207</v>
      </c>
      <c r="H34" s="7" t="s">
        <v>50</v>
      </c>
      <c r="I34" s="7" t="s">
        <v>252</v>
      </c>
    </row>
    <row r="35" spans="1:9" ht="15" customHeight="1">
      <c r="A35" s="130" t="s">
        <v>162</v>
      </c>
      <c r="B35" s="107"/>
      <c r="C35" s="107"/>
      <c r="D35" s="107"/>
      <c r="E35" s="135"/>
      <c r="F35" s="13">
        <v>0</v>
      </c>
      <c r="G35" s="12" t="s">
        <v>162</v>
      </c>
      <c r="H35" s="12" t="s">
        <v>162</v>
      </c>
      <c r="I35" s="13">
        <f>F35</f>
        <v>0</v>
      </c>
    </row>
    <row r="36" spans="1:9" ht="15" customHeight="1">
      <c r="A36" s="147" t="s">
        <v>76</v>
      </c>
      <c r="B36" s="148"/>
      <c r="C36" s="148"/>
      <c r="D36" s="148"/>
      <c r="E36" s="149"/>
      <c r="F36" s="15" t="s">
        <v>162</v>
      </c>
      <c r="G36" s="18" t="s">
        <v>162</v>
      </c>
      <c r="H36" s="18" t="s">
        <v>162</v>
      </c>
      <c r="I36" s="5">
        <f>SUM(I35:I35)</f>
        <v>0</v>
      </c>
    </row>
  </sheetData>
  <sheetProtection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I8:I9"/>
    <mergeCell ref="I10:I11"/>
    <mergeCell ref="E2:E3"/>
    <mergeCell ref="E4:E5"/>
    <mergeCell ref="E6:E7"/>
    <mergeCell ref="F2:G3"/>
    <mergeCell ref="F4:G5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F6:G7"/>
    <mergeCell ref="F8:G9"/>
    <mergeCell ref="I2:I3"/>
    <mergeCell ref="I4:I5"/>
    <mergeCell ref="I6:I7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126" t="s">
        <v>37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128" t="s">
        <v>13</v>
      </c>
      <c r="B2" s="129"/>
      <c r="C2" s="140" t="e">
        <f>'výkaz výměr'!#REF!</f>
        <v>#REF!</v>
      </c>
      <c r="D2" s="141"/>
      <c r="E2" s="133" t="s">
        <v>200</v>
      </c>
      <c r="F2" s="133" t="e">
        <f>'výkaz výměr'!#REF!</f>
        <v>#REF!</v>
      </c>
      <c r="G2" s="129"/>
      <c r="H2" s="133" t="s">
        <v>149</v>
      </c>
      <c r="I2" s="134" t="s">
        <v>29</v>
      </c>
    </row>
    <row r="3" spans="1:9" ht="39" customHeight="1">
      <c r="A3" s="130"/>
      <c r="B3" s="107"/>
      <c r="C3" s="142"/>
      <c r="D3" s="142"/>
      <c r="E3" s="107"/>
      <c r="F3" s="107"/>
      <c r="G3" s="107"/>
      <c r="H3" s="107"/>
      <c r="I3" s="135"/>
    </row>
    <row r="4" spans="1:9" ht="15" customHeight="1">
      <c r="A4" s="131" t="s">
        <v>124</v>
      </c>
      <c r="B4" s="107"/>
      <c r="C4" s="106" t="e">
        <f>'výkaz výměr'!#REF!</f>
        <v>#REF!</v>
      </c>
      <c r="D4" s="107"/>
      <c r="E4" s="106" t="s">
        <v>161</v>
      </c>
      <c r="F4" s="106" t="e">
        <f>'výkaz výměr'!#REF!</f>
        <v>#REF!</v>
      </c>
      <c r="G4" s="107"/>
      <c r="H4" s="106" t="s">
        <v>149</v>
      </c>
      <c r="I4" s="135" t="s">
        <v>61</v>
      </c>
    </row>
    <row r="5" spans="1:9" ht="15" customHeight="1">
      <c r="A5" s="130"/>
      <c r="B5" s="107"/>
      <c r="C5" s="107"/>
      <c r="D5" s="107"/>
      <c r="E5" s="107"/>
      <c r="F5" s="107"/>
      <c r="G5" s="107"/>
      <c r="H5" s="107"/>
      <c r="I5" s="135"/>
    </row>
    <row r="6" spans="1:9" ht="15" customHeight="1">
      <c r="A6" s="131" t="s">
        <v>17</v>
      </c>
      <c r="B6" s="107"/>
      <c r="C6" s="106" t="str">
        <f>'výkaz výměr'!C5</f>
        <v>Dominikánská 264/2, 601 69 Brno</v>
      </c>
      <c r="D6" s="107"/>
      <c r="E6" s="106" t="s">
        <v>206</v>
      </c>
      <c r="F6" s="106" t="e">
        <f>'výkaz výměr'!#REF!</f>
        <v>#REF!</v>
      </c>
      <c r="G6" s="107"/>
      <c r="H6" s="106" t="s">
        <v>149</v>
      </c>
      <c r="I6" s="135" t="s">
        <v>162</v>
      </c>
    </row>
    <row r="7" spans="1:9" ht="25.5" customHeight="1">
      <c r="A7" s="130"/>
      <c r="B7" s="107"/>
      <c r="C7" s="107"/>
      <c r="D7" s="107"/>
      <c r="E7" s="107"/>
      <c r="F7" s="107"/>
      <c r="G7" s="107"/>
      <c r="H7" s="107"/>
      <c r="I7" s="135"/>
    </row>
    <row r="8" spans="1:9" ht="15" customHeight="1">
      <c r="A8" s="131" t="s">
        <v>211</v>
      </c>
      <c r="B8" s="107"/>
      <c r="C8" s="106" t="e">
        <f>'výkaz výměr'!#REF!</f>
        <v>#REF!</v>
      </c>
      <c r="D8" s="107"/>
      <c r="E8" s="106" t="s">
        <v>67</v>
      </c>
      <c r="F8" s="106" t="str">
        <f>'výkaz výměr'!C8</f>
        <v>Dopište název společnosti ……………………..</v>
      </c>
      <c r="G8" s="107"/>
      <c r="H8" s="107" t="s">
        <v>242</v>
      </c>
      <c r="I8" s="136">
        <v>12</v>
      </c>
    </row>
    <row r="9" spans="1:9" ht="15" customHeight="1">
      <c r="A9" s="130"/>
      <c r="B9" s="107"/>
      <c r="C9" s="107"/>
      <c r="D9" s="107"/>
      <c r="E9" s="107"/>
      <c r="F9" s="107"/>
      <c r="G9" s="107"/>
      <c r="H9" s="107"/>
      <c r="I9" s="135"/>
    </row>
    <row r="10" spans="1:9" ht="15" customHeight="1">
      <c r="A10" s="131" t="s">
        <v>109</v>
      </c>
      <c r="B10" s="107"/>
      <c r="C10" s="106">
        <f>'výkaz výměr'!C9</f>
        <v>0</v>
      </c>
      <c r="D10" s="107"/>
      <c r="E10" s="106" t="s">
        <v>152</v>
      </c>
      <c r="F10" s="106" t="e">
        <f>'výkaz výměr'!#REF!</f>
        <v>#REF!</v>
      </c>
      <c r="G10" s="107"/>
      <c r="H10" s="107" t="s">
        <v>232</v>
      </c>
      <c r="I10" s="137">
        <f>'výkaz výměr'!G9</f>
        <v>0</v>
      </c>
    </row>
    <row r="11" spans="1:9" ht="15" customHeight="1">
      <c r="A11" s="146"/>
      <c r="B11" s="132"/>
      <c r="C11" s="132"/>
      <c r="D11" s="132"/>
      <c r="E11" s="132"/>
      <c r="F11" s="132"/>
      <c r="G11" s="132"/>
      <c r="H11" s="132"/>
      <c r="I11" s="138"/>
    </row>
    <row r="13" spans="1:5" ht="15.75" customHeight="1">
      <c r="A13" s="139" t="s">
        <v>81</v>
      </c>
      <c r="B13" s="139"/>
      <c r="C13" s="139"/>
      <c r="D13" s="139"/>
      <c r="E13" s="139"/>
    </row>
    <row r="14" spans="1:9" ht="15" customHeight="1">
      <c r="A14" s="143" t="s">
        <v>264</v>
      </c>
      <c r="B14" s="144"/>
      <c r="C14" s="144"/>
      <c r="D14" s="144"/>
      <c r="E14" s="145"/>
      <c r="F14" s="7" t="s">
        <v>252</v>
      </c>
      <c r="G14" s="7" t="s">
        <v>207</v>
      </c>
      <c r="H14" s="7" t="s">
        <v>50</v>
      </c>
      <c r="I14" s="7" t="s">
        <v>252</v>
      </c>
    </row>
    <row r="15" spans="1:9" ht="15" customHeight="1">
      <c r="A15" s="146" t="s">
        <v>169</v>
      </c>
      <c r="B15" s="132"/>
      <c r="C15" s="132"/>
      <c r="D15" s="132"/>
      <c r="E15" s="138"/>
      <c r="F15" s="11">
        <v>0</v>
      </c>
      <c r="G15" s="17" t="s">
        <v>162</v>
      </c>
      <c r="H15" s="17" t="s">
        <v>162</v>
      </c>
      <c r="I15" s="11">
        <f>F15</f>
        <v>0</v>
      </c>
    </row>
    <row r="16" spans="1:9" ht="15" customHeight="1">
      <c r="A16" s="146" t="s">
        <v>20</v>
      </c>
      <c r="B16" s="132"/>
      <c r="C16" s="132"/>
      <c r="D16" s="132"/>
      <c r="E16" s="138"/>
      <c r="F16" s="11">
        <v>0</v>
      </c>
      <c r="G16" s="17" t="s">
        <v>162</v>
      </c>
      <c r="H16" s="17" t="s">
        <v>162</v>
      </c>
      <c r="I16" s="11">
        <f>F16</f>
        <v>0</v>
      </c>
    </row>
    <row r="17" spans="1:9" ht="15" customHeight="1">
      <c r="A17" s="130" t="s">
        <v>174</v>
      </c>
      <c r="B17" s="107"/>
      <c r="C17" s="107"/>
      <c r="D17" s="107"/>
      <c r="E17" s="135"/>
      <c r="F17" s="13">
        <v>0</v>
      </c>
      <c r="G17" s="12" t="s">
        <v>162</v>
      </c>
      <c r="H17" s="12" t="s">
        <v>162</v>
      </c>
      <c r="I17" s="13">
        <f>F17</f>
        <v>0</v>
      </c>
    </row>
    <row r="18" spans="1:9" ht="15" customHeight="1">
      <c r="A18" s="147" t="s">
        <v>258</v>
      </c>
      <c r="B18" s="148"/>
      <c r="C18" s="148"/>
      <c r="D18" s="148"/>
      <c r="E18" s="149"/>
      <c r="F18" s="15" t="s">
        <v>162</v>
      </c>
      <c r="G18" s="18" t="s">
        <v>162</v>
      </c>
      <c r="H18" s="18" t="s">
        <v>162</v>
      </c>
      <c r="I18" s="5">
        <f>SUM(I15:I17)</f>
        <v>0</v>
      </c>
    </row>
    <row r="20" spans="1:9" ht="15" customHeight="1">
      <c r="A20" s="143" t="s">
        <v>39</v>
      </c>
      <c r="B20" s="144"/>
      <c r="C20" s="144"/>
      <c r="D20" s="144"/>
      <c r="E20" s="145"/>
      <c r="F20" s="7" t="s">
        <v>252</v>
      </c>
      <c r="G20" s="7" t="s">
        <v>207</v>
      </c>
      <c r="H20" s="7" t="s">
        <v>50</v>
      </c>
      <c r="I20" s="7" t="s">
        <v>252</v>
      </c>
    </row>
    <row r="21" spans="1:9" ht="15" customHeight="1">
      <c r="A21" s="146" t="s">
        <v>23</v>
      </c>
      <c r="B21" s="132"/>
      <c r="C21" s="132"/>
      <c r="D21" s="132"/>
      <c r="E21" s="138"/>
      <c r="F21" s="11">
        <v>0</v>
      </c>
      <c r="G21" s="17" t="s">
        <v>162</v>
      </c>
      <c r="H21" s="17" t="s">
        <v>162</v>
      </c>
      <c r="I21" s="11">
        <f aca="true" t="shared" si="0" ref="I21:I26">F21</f>
        <v>0</v>
      </c>
    </row>
    <row r="22" spans="1:9" ht="15" customHeight="1">
      <c r="A22" s="146" t="s">
        <v>185</v>
      </c>
      <c r="B22" s="132"/>
      <c r="C22" s="132"/>
      <c r="D22" s="132"/>
      <c r="E22" s="138"/>
      <c r="F22" s="11">
        <v>0</v>
      </c>
      <c r="G22" s="17" t="s">
        <v>162</v>
      </c>
      <c r="H22" s="17" t="s">
        <v>162</v>
      </c>
      <c r="I22" s="11">
        <f t="shared" si="0"/>
        <v>0</v>
      </c>
    </row>
    <row r="23" spans="1:9" ht="15" customHeight="1">
      <c r="A23" s="146" t="s">
        <v>229</v>
      </c>
      <c r="B23" s="132"/>
      <c r="C23" s="132"/>
      <c r="D23" s="132"/>
      <c r="E23" s="138"/>
      <c r="F23" s="11">
        <v>0</v>
      </c>
      <c r="G23" s="17" t="s">
        <v>162</v>
      </c>
      <c r="H23" s="17" t="s">
        <v>162</v>
      </c>
      <c r="I23" s="11">
        <f t="shared" si="0"/>
        <v>0</v>
      </c>
    </row>
    <row r="24" spans="1:9" ht="15" customHeight="1">
      <c r="A24" s="146" t="s">
        <v>118</v>
      </c>
      <c r="B24" s="132"/>
      <c r="C24" s="132"/>
      <c r="D24" s="132"/>
      <c r="E24" s="138"/>
      <c r="F24" s="11">
        <v>0</v>
      </c>
      <c r="G24" s="17" t="s">
        <v>162</v>
      </c>
      <c r="H24" s="17" t="s">
        <v>162</v>
      </c>
      <c r="I24" s="11">
        <f t="shared" si="0"/>
        <v>0</v>
      </c>
    </row>
    <row r="25" spans="1:9" ht="15" customHeight="1">
      <c r="A25" s="146" t="s">
        <v>151</v>
      </c>
      <c r="B25" s="132"/>
      <c r="C25" s="132"/>
      <c r="D25" s="132"/>
      <c r="E25" s="138"/>
      <c r="F25" s="11">
        <v>0</v>
      </c>
      <c r="G25" s="17" t="s">
        <v>162</v>
      </c>
      <c r="H25" s="17" t="s">
        <v>162</v>
      </c>
      <c r="I25" s="11">
        <f t="shared" si="0"/>
        <v>0</v>
      </c>
    </row>
    <row r="26" spans="1:9" ht="15" customHeight="1">
      <c r="A26" s="130" t="s">
        <v>235</v>
      </c>
      <c r="B26" s="107"/>
      <c r="C26" s="107"/>
      <c r="D26" s="107"/>
      <c r="E26" s="135"/>
      <c r="F26" s="13">
        <v>0</v>
      </c>
      <c r="G26" s="12" t="s">
        <v>162</v>
      </c>
      <c r="H26" s="12" t="s">
        <v>162</v>
      </c>
      <c r="I26" s="13">
        <f t="shared" si="0"/>
        <v>0</v>
      </c>
    </row>
    <row r="27" spans="1:9" ht="15" customHeight="1">
      <c r="A27" s="147" t="s">
        <v>88</v>
      </c>
      <c r="B27" s="148"/>
      <c r="C27" s="148"/>
      <c r="D27" s="148"/>
      <c r="E27" s="149"/>
      <c r="F27" s="15" t="s">
        <v>162</v>
      </c>
      <c r="G27" s="18" t="s">
        <v>162</v>
      </c>
      <c r="H27" s="18" t="s">
        <v>162</v>
      </c>
      <c r="I27" s="5">
        <f>SUM(I21:I26)</f>
        <v>0</v>
      </c>
    </row>
    <row r="29" spans="1:9" ht="15.75" customHeight="1">
      <c r="A29" s="150" t="s">
        <v>254</v>
      </c>
      <c r="B29" s="151"/>
      <c r="C29" s="151"/>
      <c r="D29" s="151"/>
      <c r="E29" s="152"/>
      <c r="F29" s="153">
        <f>I18+I27</f>
        <v>0</v>
      </c>
      <c r="G29" s="154"/>
      <c r="H29" s="154"/>
      <c r="I29" s="155"/>
    </row>
    <row r="33" spans="1:5" ht="15.75" customHeight="1">
      <c r="A33" s="139" t="s">
        <v>248</v>
      </c>
      <c r="B33" s="139"/>
      <c r="C33" s="139"/>
      <c r="D33" s="139"/>
      <c r="E33" s="139"/>
    </row>
    <row r="34" spans="1:9" ht="15" customHeight="1">
      <c r="A34" s="143" t="s">
        <v>257</v>
      </c>
      <c r="B34" s="144"/>
      <c r="C34" s="144"/>
      <c r="D34" s="144"/>
      <c r="E34" s="145"/>
      <c r="F34" s="7" t="s">
        <v>252</v>
      </c>
      <c r="G34" s="7" t="s">
        <v>207</v>
      </c>
      <c r="H34" s="7" t="s">
        <v>50</v>
      </c>
      <c r="I34" s="7" t="s">
        <v>252</v>
      </c>
    </row>
    <row r="35" spans="1:9" ht="15" customHeight="1">
      <c r="A35" s="130" t="s">
        <v>162</v>
      </c>
      <c r="B35" s="107"/>
      <c r="C35" s="107"/>
      <c r="D35" s="107"/>
      <c r="E35" s="135"/>
      <c r="F35" s="13">
        <v>0</v>
      </c>
      <c r="G35" s="12" t="s">
        <v>162</v>
      </c>
      <c r="H35" s="12" t="s">
        <v>162</v>
      </c>
      <c r="I35" s="13">
        <f>F35</f>
        <v>0</v>
      </c>
    </row>
    <row r="36" spans="1:9" ht="15" customHeight="1">
      <c r="A36" s="147" t="s">
        <v>76</v>
      </c>
      <c r="B36" s="148"/>
      <c r="C36" s="148"/>
      <c r="D36" s="148"/>
      <c r="E36" s="149"/>
      <c r="F36" s="15" t="s">
        <v>162</v>
      </c>
      <c r="G36" s="18" t="s">
        <v>162</v>
      </c>
      <c r="H36" s="18" t="s">
        <v>162</v>
      </c>
      <c r="I36" s="5">
        <f>SUM(I35:I35)</f>
        <v>0</v>
      </c>
    </row>
  </sheetData>
  <sheetProtection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I8:I9"/>
    <mergeCell ref="I10:I11"/>
    <mergeCell ref="E2:E3"/>
    <mergeCell ref="E4:E5"/>
    <mergeCell ref="E6:E7"/>
    <mergeCell ref="F2:G3"/>
    <mergeCell ref="F4:G5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F6:G7"/>
    <mergeCell ref="F8:G9"/>
    <mergeCell ref="I2:I3"/>
    <mergeCell ref="I4:I5"/>
    <mergeCell ref="I6:I7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126" t="s">
        <v>47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128" t="s">
        <v>13</v>
      </c>
      <c r="B2" s="129"/>
      <c r="C2" s="140" t="e">
        <f>'výkaz výměr'!#REF!</f>
        <v>#REF!</v>
      </c>
      <c r="D2" s="141"/>
      <c r="E2" s="133" t="s">
        <v>200</v>
      </c>
      <c r="F2" s="133" t="e">
        <f>'výkaz výměr'!#REF!</f>
        <v>#REF!</v>
      </c>
      <c r="G2" s="129"/>
      <c r="H2" s="133" t="s">
        <v>149</v>
      </c>
      <c r="I2" s="134" t="s">
        <v>29</v>
      </c>
    </row>
    <row r="3" spans="1:9" ht="39" customHeight="1">
      <c r="A3" s="130"/>
      <c r="B3" s="107"/>
      <c r="C3" s="142"/>
      <c r="D3" s="142"/>
      <c r="E3" s="107"/>
      <c r="F3" s="107"/>
      <c r="G3" s="107"/>
      <c r="H3" s="107"/>
      <c r="I3" s="135"/>
    </row>
    <row r="4" spans="1:9" ht="15" customHeight="1">
      <c r="A4" s="131" t="s">
        <v>124</v>
      </c>
      <c r="B4" s="107"/>
      <c r="C4" s="106" t="e">
        <f>'výkaz výměr'!#REF!</f>
        <v>#REF!</v>
      </c>
      <c r="D4" s="107"/>
      <c r="E4" s="106" t="s">
        <v>161</v>
      </c>
      <c r="F4" s="106" t="e">
        <f>'výkaz výměr'!#REF!</f>
        <v>#REF!</v>
      </c>
      <c r="G4" s="107"/>
      <c r="H4" s="106" t="s">
        <v>149</v>
      </c>
      <c r="I4" s="135" t="s">
        <v>61</v>
      </c>
    </row>
    <row r="5" spans="1:9" ht="15" customHeight="1">
      <c r="A5" s="130"/>
      <c r="B5" s="107"/>
      <c r="C5" s="107"/>
      <c r="D5" s="107"/>
      <c r="E5" s="107"/>
      <c r="F5" s="107"/>
      <c r="G5" s="107"/>
      <c r="H5" s="107"/>
      <c r="I5" s="135"/>
    </row>
    <row r="6" spans="1:9" ht="15" customHeight="1">
      <c r="A6" s="131" t="s">
        <v>17</v>
      </c>
      <c r="B6" s="107"/>
      <c r="C6" s="106" t="str">
        <f>'výkaz výměr'!C5</f>
        <v>Dominikánská 264/2, 601 69 Brno</v>
      </c>
      <c r="D6" s="107"/>
      <c r="E6" s="106" t="s">
        <v>206</v>
      </c>
      <c r="F6" s="106" t="e">
        <f>'výkaz výměr'!#REF!</f>
        <v>#REF!</v>
      </c>
      <c r="G6" s="107"/>
      <c r="H6" s="106" t="s">
        <v>149</v>
      </c>
      <c r="I6" s="135" t="s">
        <v>162</v>
      </c>
    </row>
    <row r="7" spans="1:9" ht="25.5" customHeight="1">
      <c r="A7" s="130"/>
      <c r="B7" s="107"/>
      <c r="C7" s="107"/>
      <c r="D7" s="107"/>
      <c r="E7" s="107"/>
      <c r="F7" s="107"/>
      <c r="G7" s="107"/>
      <c r="H7" s="107"/>
      <c r="I7" s="135"/>
    </row>
    <row r="8" spans="1:9" ht="15" customHeight="1">
      <c r="A8" s="131" t="s">
        <v>211</v>
      </c>
      <c r="B8" s="107"/>
      <c r="C8" s="106" t="e">
        <f>'výkaz výměr'!#REF!</f>
        <v>#REF!</v>
      </c>
      <c r="D8" s="107"/>
      <c r="E8" s="106" t="s">
        <v>67</v>
      </c>
      <c r="F8" s="106" t="str">
        <f>'výkaz výměr'!C8</f>
        <v>Dopište název společnosti ……………………..</v>
      </c>
      <c r="G8" s="107"/>
      <c r="H8" s="107" t="s">
        <v>242</v>
      </c>
      <c r="I8" s="136">
        <v>20</v>
      </c>
    </row>
    <row r="9" spans="1:9" ht="15" customHeight="1">
      <c r="A9" s="130"/>
      <c r="B9" s="107"/>
      <c r="C9" s="107"/>
      <c r="D9" s="107"/>
      <c r="E9" s="107"/>
      <c r="F9" s="107"/>
      <c r="G9" s="107"/>
      <c r="H9" s="107"/>
      <c r="I9" s="135"/>
    </row>
    <row r="10" spans="1:9" ht="15" customHeight="1">
      <c r="A10" s="131" t="s">
        <v>109</v>
      </c>
      <c r="B10" s="107"/>
      <c r="C10" s="106">
        <f>'výkaz výměr'!C9</f>
        <v>0</v>
      </c>
      <c r="D10" s="107"/>
      <c r="E10" s="106" t="s">
        <v>152</v>
      </c>
      <c r="F10" s="106" t="e">
        <f>'výkaz výměr'!#REF!</f>
        <v>#REF!</v>
      </c>
      <c r="G10" s="107"/>
      <c r="H10" s="107" t="s">
        <v>232</v>
      </c>
      <c r="I10" s="137">
        <f>'výkaz výměr'!G9</f>
        <v>0</v>
      </c>
    </row>
    <row r="11" spans="1:9" ht="15" customHeight="1">
      <c r="A11" s="146"/>
      <c r="B11" s="132"/>
      <c r="C11" s="132"/>
      <c r="D11" s="132"/>
      <c r="E11" s="132"/>
      <c r="F11" s="132"/>
      <c r="G11" s="132"/>
      <c r="H11" s="132"/>
      <c r="I11" s="138"/>
    </row>
    <row r="13" spans="1:5" ht="15.75" customHeight="1">
      <c r="A13" s="139" t="s">
        <v>81</v>
      </c>
      <c r="B13" s="139"/>
      <c r="C13" s="139"/>
      <c r="D13" s="139"/>
      <c r="E13" s="139"/>
    </row>
    <row r="14" spans="1:9" ht="15" customHeight="1">
      <c r="A14" s="143" t="s">
        <v>264</v>
      </c>
      <c r="B14" s="144"/>
      <c r="C14" s="144"/>
      <c r="D14" s="144"/>
      <c r="E14" s="145"/>
      <c r="F14" s="7" t="s">
        <v>252</v>
      </c>
      <c r="G14" s="7" t="s">
        <v>207</v>
      </c>
      <c r="H14" s="7" t="s">
        <v>50</v>
      </c>
      <c r="I14" s="7" t="s">
        <v>252</v>
      </c>
    </row>
    <row r="15" spans="1:9" ht="15" customHeight="1">
      <c r="A15" s="146" t="s">
        <v>169</v>
      </c>
      <c r="B15" s="132"/>
      <c r="C15" s="132"/>
      <c r="D15" s="132"/>
      <c r="E15" s="138"/>
      <c r="F15" s="11">
        <v>0</v>
      </c>
      <c r="G15" s="17" t="s">
        <v>162</v>
      </c>
      <c r="H15" s="17" t="s">
        <v>162</v>
      </c>
      <c r="I15" s="11">
        <f>F15</f>
        <v>0</v>
      </c>
    </row>
    <row r="16" spans="1:9" ht="15" customHeight="1">
      <c r="A16" s="146" t="s">
        <v>20</v>
      </c>
      <c r="B16" s="132"/>
      <c r="C16" s="132"/>
      <c r="D16" s="132"/>
      <c r="E16" s="138"/>
      <c r="F16" s="11">
        <v>0</v>
      </c>
      <c r="G16" s="17" t="s">
        <v>162</v>
      </c>
      <c r="H16" s="17" t="s">
        <v>162</v>
      </c>
      <c r="I16" s="11">
        <f>F16</f>
        <v>0</v>
      </c>
    </row>
    <row r="17" spans="1:9" ht="15" customHeight="1">
      <c r="A17" s="130" t="s">
        <v>174</v>
      </c>
      <c r="B17" s="107"/>
      <c r="C17" s="107"/>
      <c r="D17" s="107"/>
      <c r="E17" s="135"/>
      <c r="F17" s="13">
        <v>0</v>
      </c>
      <c r="G17" s="12" t="s">
        <v>162</v>
      </c>
      <c r="H17" s="12" t="s">
        <v>162</v>
      </c>
      <c r="I17" s="13">
        <f>F17</f>
        <v>0</v>
      </c>
    </row>
    <row r="18" spans="1:9" ht="15" customHeight="1">
      <c r="A18" s="147" t="s">
        <v>258</v>
      </c>
      <c r="B18" s="148"/>
      <c r="C18" s="148"/>
      <c r="D18" s="148"/>
      <c r="E18" s="149"/>
      <c r="F18" s="15" t="s">
        <v>162</v>
      </c>
      <c r="G18" s="18" t="s">
        <v>162</v>
      </c>
      <c r="H18" s="18" t="s">
        <v>162</v>
      </c>
      <c r="I18" s="5">
        <f>SUM(I15:I17)</f>
        <v>0</v>
      </c>
    </row>
    <row r="20" spans="1:9" ht="15" customHeight="1">
      <c r="A20" s="143" t="s">
        <v>39</v>
      </c>
      <c r="B20" s="144"/>
      <c r="C20" s="144"/>
      <c r="D20" s="144"/>
      <c r="E20" s="145"/>
      <c r="F20" s="7" t="s">
        <v>252</v>
      </c>
      <c r="G20" s="7" t="s">
        <v>207</v>
      </c>
      <c r="H20" s="7" t="s">
        <v>50</v>
      </c>
      <c r="I20" s="7" t="s">
        <v>252</v>
      </c>
    </row>
    <row r="21" spans="1:9" ht="15" customHeight="1">
      <c r="A21" s="146" t="s">
        <v>23</v>
      </c>
      <c r="B21" s="132"/>
      <c r="C21" s="132"/>
      <c r="D21" s="132"/>
      <c r="E21" s="138"/>
      <c r="F21" s="11">
        <v>0</v>
      </c>
      <c r="G21" s="17" t="s">
        <v>162</v>
      </c>
      <c r="H21" s="17" t="s">
        <v>162</v>
      </c>
      <c r="I21" s="11">
        <f aca="true" t="shared" si="0" ref="I21:I26">F21</f>
        <v>0</v>
      </c>
    </row>
    <row r="22" spans="1:9" ht="15" customHeight="1">
      <c r="A22" s="146" t="s">
        <v>185</v>
      </c>
      <c r="B22" s="132"/>
      <c r="C22" s="132"/>
      <c r="D22" s="132"/>
      <c r="E22" s="138"/>
      <c r="F22" s="11">
        <v>0</v>
      </c>
      <c r="G22" s="17" t="s">
        <v>162</v>
      </c>
      <c r="H22" s="17" t="s">
        <v>162</v>
      </c>
      <c r="I22" s="11">
        <f t="shared" si="0"/>
        <v>0</v>
      </c>
    </row>
    <row r="23" spans="1:9" ht="15" customHeight="1">
      <c r="A23" s="146" t="s">
        <v>229</v>
      </c>
      <c r="B23" s="132"/>
      <c r="C23" s="132"/>
      <c r="D23" s="132"/>
      <c r="E23" s="138"/>
      <c r="F23" s="11">
        <v>0</v>
      </c>
      <c r="G23" s="17" t="s">
        <v>162</v>
      </c>
      <c r="H23" s="17" t="s">
        <v>162</v>
      </c>
      <c r="I23" s="11">
        <f t="shared" si="0"/>
        <v>0</v>
      </c>
    </row>
    <row r="24" spans="1:9" ht="15" customHeight="1">
      <c r="A24" s="146" t="s">
        <v>118</v>
      </c>
      <c r="B24" s="132"/>
      <c r="C24" s="132"/>
      <c r="D24" s="132"/>
      <c r="E24" s="138"/>
      <c r="F24" s="11">
        <v>0</v>
      </c>
      <c r="G24" s="17" t="s">
        <v>162</v>
      </c>
      <c r="H24" s="17" t="s">
        <v>162</v>
      </c>
      <c r="I24" s="11">
        <f t="shared" si="0"/>
        <v>0</v>
      </c>
    </row>
    <row r="25" spans="1:9" ht="15" customHeight="1">
      <c r="A25" s="146" t="s">
        <v>151</v>
      </c>
      <c r="B25" s="132"/>
      <c r="C25" s="132"/>
      <c r="D25" s="132"/>
      <c r="E25" s="138"/>
      <c r="F25" s="11">
        <v>0</v>
      </c>
      <c r="G25" s="17" t="s">
        <v>162</v>
      </c>
      <c r="H25" s="17" t="s">
        <v>162</v>
      </c>
      <c r="I25" s="11">
        <f t="shared" si="0"/>
        <v>0</v>
      </c>
    </row>
    <row r="26" spans="1:9" ht="15" customHeight="1">
      <c r="A26" s="130" t="s">
        <v>235</v>
      </c>
      <c r="B26" s="107"/>
      <c r="C26" s="107"/>
      <c r="D26" s="107"/>
      <c r="E26" s="135"/>
      <c r="F26" s="13">
        <v>0</v>
      </c>
      <c r="G26" s="12" t="s">
        <v>162</v>
      </c>
      <c r="H26" s="12" t="s">
        <v>162</v>
      </c>
      <c r="I26" s="13">
        <f t="shared" si="0"/>
        <v>0</v>
      </c>
    </row>
    <row r="27" spans="1:9" ht="15" customHeight="1">
      <c r="A27" s="147" t="s">
        <v>88</v>
      </c>
      <c r="B27" s="148"/>
      <c r="C27" s="148"/>
      <c r="D27" s="148"/>
      <c r="E27" s="149"/>
      <c r="F27" s="15" t="s">
        <v>162</v>
      </c>
      <c r="G27" s="18" t="s">
        <v>162</v>
      </c>
      <c r="H27" s="18" t="s">
        <v>162</v>
      </c>
      <c r="I27" s="5">
        <f>SUM(I21:I26)</f>
        <v>0</v>
      </c>
    </row>
    <row r="29" spans="1:9" ht="15.75" customHeight="1">
      <c r="A29" s="150" t="s">
        <v>254</v>
      </c>
      <c r="B29" s="151"/>
      <c r="C29" s="151"/>
      <c r="D29" s="151"/>
      <c r="E29" s="152"/>
      <c r="F29" s="153">
        <f>I18+I27</f>
        <v>0</v>
      </c>
      <c r="G29" s="154"/>
      <c r="H29" s="154"/>
      <c r="I29" s="155"/>
    </row>
    <row r="33" spans="1:5" ht="15.75" customHeight="1">
      <c r="A33" s="139" t="s">
        <v>248</v>
      </c>
      <c r="B33" s="139"/>
      <c r="C33" s="139"/>
      <c r="D33" s="139"/>
      <c r="E33" s="139"/>
    </row>
    <row r="34" spans="1:9" ht="15" customHeight="1">
      <c r="A34" s="143" t="s">
        <v>257</v>
      </c>
      <c r="B34" s="144"/>
      <c r="C34" s="144"/>
      <c r="D34" s="144"/>
      <c r="E34" s="145"/>
      <c r="F34" s="7" t="s">
        <v>252</v>
      </c>
      <c r="G34" s="7" t="s">
        <v>207</v>
      </c>
      <c r="H34" s="7" t="s">
        <v>50</v>
      </c>
      <c r="I34" s="7" t="s">
        <v>252</v>
      </c>
    </row>
    <row r="35" spans="1:9" ht="15" customHeight="1">
      <c r="A35" s="130" t="s">
        <v>162</v>
      </c>
      <c r="B35" s="107"/>
      <c r="C35" s="107"/>
      <c r="D35" s="107"/>
      <c r="E35" s="135"/>
      <c r="F35" s="13">
        <v>0</v>
      </c>
      <c r="G35" s="12" t="s">
        <v>162</v>
      </c>
      <c r="H35" s="12" t="s">
        <v>162</v>
      </c>
      <c r="I35" s="13">
        <f>F35</f>
        <v>0</v>
      </c>
    </row>
    <row r="36" spans="1:9" ht="15" customHeight="1">
      <c r="A36" s="147" t="s">
        <v>76</v>
      </c>
      <c r="B36" s="148"/>
      <c r="C36" s="148"/>
      <c r="D36" s="148"/>
      <c r="E36" s="149"/>
      <c r="F36" s="15" t="s">
        <v>162</v>
      </c>
      <c r="G36" s="18" t="s">
        <v>162</v>
      </c>
      <c r="H36" s="18" t="s">
        <v>162</v>
      </c>
      <c r="I36" s="5">
        <f>SUM(I35:I35)</f>
        <v>0</v>
      </c>
    </row>
  </sheetData>
  <sheetProtection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I8:I9"/>
    <mergeCell ref="I10:I11"/>
    <mergeCell ref="E2:E3"/>
    <mergeCell ref="E4:E5"/>
    <mergeCell ref="E6:E7"/>
    <mergeCell ref="F2:G3"/>
    <mergeCell ref="F4:G5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F6:G7"/>
    <mergeCell ref="F8:G9"/>
    <mergeCell ref="I2:I3"/>
    <mergeCell ref="I4:I5"/>
    <mergeCell ref="I6:I7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A36" sqref="A36:E36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2" style="0" customWidth="1"/>
    <col min="4" max="4" width="14" style="0" customWidth="1"/>
    <col min="5" max="5" width="19.59765625" style="0" customWidth="1"/>
    <col min="6" max="6" width="32" style="0" customWidth="1"/>
    <col min="7" max="7" width="12.796875" style="0" customWidth="1"/>
    <col min="8" max="8" width="24" style="0" customWidth="1"/>
    <col min="9" max="9" width="32" style="0" customWidth="1"/>
  </cols>
  <sheetData>
    <row r="1" spans="1:9" ht="54.75" customHeight="1">
      <c r="A1" s="126" t="s">
        <v>107</v>
      </c>
      <c r="B1" s="127"/>
      <c r="C1" s="127"/>
      <c r="D1" s="127"/>
      <c r="E1" s="127"/>
      <c r="F1" s="127"/>
      <c r="G1" s="127"/>
      <c r="H1" s="127"/>
      <c r="I1" s="127"/>
    </row>
    <row r="2" spans="1:9" ht="15" customHeight="1">
      <c r="A2" s="128" t="s">
        <v>13</v>
      </c>
      <c r="B2" s="129"/>
      <c r="C2" s="140" t="e">
        <f>'výkaz výměr'!#REF!</f>
        <v>#REF!</v>
      </c>
      <c r="D2" s="141"/>
      <c r="E2" s="133" t="s">
        <v>200</v>
      </c>
      <c r="F2" s="133" t="e">
        <f>'výkaz výměr'!#REF!</f>
        <v>#REF!</v>
      </c>
      <c r="G2" s="129"/>
      <c r="H2" s="133" t="s">
        <v>149</v>
      </c>
      <c r="I2" s="134" t="s">
        <v>29</v>
      </c>
    </row>
    <row r="3" spans="1:9" ht="39" customHeight="1">
      <c r="A3" s="130"/>
      <c r="B3" s="107"/>
      <c r="C3" s="142"/>
      <c r="D3" s="142"/>
      <c r="E3" s="107"/>
      <c r="F3" s="107"/>
      <c r="G3" s="107"/>
      <c r="H3" s="107"/>
      <c r="I3" s="135"/>
    </row>
    <row r="4" spans="1:9" ht="15" customHeight="1">
      <c r="A4" s="131" t="s">
        <v>124</v>
      </c>
      <c r="B4" s="107"/>
      <c r="C4" s="106" t="e">
        <f>'výkaz výměr'!#REF!</f>
        <v>#REF!</v>
      </c>
      <c r="D4" s="107"/>
      <c r="E4" s="106" t="s">
        <v>161</v>
      </c>
      <c r="F4" s="106" t="e">
        <f>'výkaz výměr'!#REF!</f>
        <v>#REF!</v>
      </c>
      <c r="G4" s="107"/>
      <c r="H4" s="106" t="s">
        <v>149</v>
      </c>
      <c r="I4" s="135" t="s">
        <v>61</v>
      </c>
    </row>
    <row r="5" spans="1:9" ht="15" customHeight="1">
      <c r="A5" s="130"/>
      <c r="B5" s="107"/>
      <c r="C5" s="107"/>
      <c r="D5" s="107"/>
      <c r="E5" s="107"/>
      <c r="F5" s="107"/>
      <c r="G5" s="107"/>
      <c r="H5" s="107"/>
      <c r="I5" s="135"/>
    </row>
    <row r="6" spans="1:9" ht="15" customHeight="1">
      <c r="A6" s="131" t="s">
        <v>17</v>
      </c>
      <c r="B6" s="107"/>
      <c r="C6" s="106" t="str">
        <f>'výkaz výměr'!C5</f>
        <v>Dominikánská 264/2, 601 69 Brno</v>
      </c>
      <c r="D6" s="107"/>
      <c r="E6" s="106" t="s">
        <v>206</v>
      </c>
      <c r="F6" s="106" t="e">
        <f>'výkaz výměr'!#REF!</f>
        <v>#REF!</v>
      </c>
      <c r="G6" s="107"/>
      <c r="H6" s="106" t="s">
        <v>149</v>
      </c>
      <c r="I6" s="135" t="s">
        <v>162</v>
      </c>
    </row>
    <row r="7" spans="1:9" ht="25.5" customHeight="1">
      <c r="A7" s="130"/>
      <c r="B7" s="107"/>
      <c r="C7" s="107"/>
      <c r="D7" s="107"/>
      <c r="E7" s="107"/>
      <c r="F7" s="107"/>
      <c r="G7" s="107"/>
      <c r="H7" s="107"/>
      <c r="I7" s="135"/>
    </row>
    <row r="8" spans="1:9" ht="15" customHeight="1">
      <c r="A8" s="131" t="s">
        <v>211</v>
      </c>
      <c r="B8" s="107"/>
      <c r="C8" s="106" t="e">
        <f>'výkaz výměr'!#REF!</f>
        <v>#REF!</v>
      </c>
      <c r="D8" s="107"/>
      <c r="E8" s="106" t="s">
        <v>67</v>
      </c>
      <c r="F8" s="106" t="str">
        <f>'výkaz výměr'!C8</f>
        <v>Dopište název společnosti ……………………..</v>
      </c>
      <c r="G8" s="107"/>
      <c r="H8" s="107" t="s">
        <v>242</v>
      </c>
      <c r="I8" s="136">
        <v>11</v>
      </c>
    </row>
    <row r="9" spans="1:9" ht="15" customHeight="1">
      <c r="A9" s="130"/>
      <c r="B9" s="107"/>
      <c r="C9" s="107"/>
      <c r="D9" s="107"/>
      <c r="E9" s="107"/>
      <c r="F9" s="107"/>
      <c r="G9" s="107"/>
      <c r="H9" s="107"/>
      <c r="I9" s="135"/>
    </row>
    <row r="10" spans="1:9" ht="15" customHeight="1">
      <c r="A10" s="131" t="s">
        <v>109</v>
      </c>
      <c r="B10" s="107"/>
      <c r="C10" s="106">
        <f>'výkaz výměr'!C9</f>
        <v>0</v>
      </c>
      <c r="D10" s="107"/>
      <c r="E10" s="106" t="s">
        <v>152</v>
      </c>
      <c r="F10" s="106" t="e">
        <f>'výkaz výměr'!#REF!</f>
        <v>#REF!</v>
      </c>
      <c r="G10" s="107"/>
      <c r="H10" s="107" t="s">
        <v>232</v>
      </c>
      <c r="I10" s="137">
        <f>'výkaz výměr'!G9</f>
        <v>0</v>
      </c>
    </row>
    <row r="11" spans="1:9" ht="15" customHeight="1">
      <c r="A11" s="146"/>
      <c r="B11" s="132"/>
      <c r="C11" s="132"/>
      <c r="D11" s="132"/>
      <c r="E11" s="132"/>
      <c r="F11" s="132"/>
      <c r="G11" s="132"/>
      <c r="H11" s="132"/>
      <c r="I11" s="138"/>
    </row>
    <row r="13" spans="1:5" ht="15.75" customHeight="1">
      <c r="A13" s="139" t="s">
        <v>81</v>
      </c>
      <c r="B13" s="139"/>
      <c r="C13" s="139"/>
      <c r="D13" s="139"/>
      <c r="E13" s="139"/>
    </row>
    <row r="14" spans="1:9" ht="15" customHeight="1">
      <c r="A14" s="143" t="s">
        <v>264</v>
      </c>
      <c r="B14" s="144"/>
      <c r="C14" s="144"/>
      <c r="D14" s="144"/>
      <c r="E14" s="145"/>
      <c r="F14" s="7" t="s">
        <v>252</v>
      </c>
      <c r="G14" s="7" t="s">
        <v>207</v>
      </c>
      <c r="H14" s="7" t="s">
        <v>50</v>
      </c>
      <c r="I14" s="7" t="s">
        <v>252</v>
      </c>
    </row>
    <row r="15" spans="1:9" ht="15" customHeight="1">
      <c r="A15" s="146" t="s">
        <v>169</v>
      </c>
      <c r="B15" s="132"/>
      <c r="C15" s="132"/>
      <c r="D15" s="132"/>
      <c r="E15" s="138"/>
      <c r="F15" s="11">
        <v>0</v>
      </c>
      <c r="G15" s="17" t="s">
        <v>162</v>
      </c>
      <c r="H15" s="17" t="s">
        <v>162</v>
      </c>
      <c r="I15" s="11">
        <f>F15</f>
        <v>0</v>
      </c>
    </row>
    <row r="16" spans="1:9" ht="15" customHeight="1">
      <c r="A16" s="146" t="s">
        <v>20</v>
      </c>
      <c r="B16" s="132"/>
      <c r="C16" s="132"/>
      <c r="D16" s="132"/>
      <c r="E16" s="138"/>
      <c r="F16" s="11">
        <v>0</v>
      </c>
      <c r="G16" s="17" t="s">
        <v>162</v>
      </c>
      <c r="H16" s="17" t="s">
        <v>162</v>
      </c>
      <c r="I16" s="11">
        <f>F16</f>
        <v>0</v>
      </c>
    </row>
    <row r="17" spans="1:9" ht="15" customHeight="1">
      <c r="A17" s="130" t="s">
        <v>174</v>
      </c>
      <c r="B17" s="107"/>
      <c r="C17" s="107"/>
      <c r="D17" s="107"/>
      <c r="E17" s="135"/>
      <c r="F17" s="13">
        <v>0</v>
      </c>
      <c r="G17" s="12" t="s">
        <v>162</v>
      </c>
      <c r="H17" s="12" t="s">
        <v>162</v>
      </c>
      <c r="I17" s="13">
        <f>F17</f>
        <v>0</v>
      </c>
    </row>
    <row r="18" spans="1:9" ht="15" customHeight="1">
      <c r="A18" s="147" t="s">
        <v>258</v>
      </c>
      <c r="B18" s="148"/>
      <c r="C18" s="148"/>
      <c r="D18" s="148"/>
      <c r="E18" s="149"/>
      <c r="F18" s="15" t="s">
        <v>162</v>
      </c>
      <c r="G18" s="18" t="s">
        <v>162</v>
      </c>
      <c r="H18" s="18" t="s">
        <v>162</v>
      </c>
      <c r="I18" s="5">
        <f>SUM(I15:I17)</f>
        <v>0</v>
      </c>
    </row>
    <row r="20" spans="1:9" ht="15" customHeight="1">
      <c r="A20" s="143" t="s">
        <v>39</v>
      </c>
      <c r="B20" s="144"/>
      <c r="C20" s="144"/>
      <c r="D20" s="144"/>
      <c r="E20" s="145"/>
      <c r="F20" s="7" t="s">
        <v>252</v>
      </c>
      <c r="G20" s="7" t="s">
        <v>207</v>
      </c>
      <c r="H20" s="7" t="s">
        <v>50</v>
      </c>
      <c r="I20" s="7" t="s">
        <v>252</v>
      </c>
    </row>
    <row r="21" spans="1:9" ht="15" customHeight="1">
      <c r="A21" s="146" t="s">
        <v>23</v>
      </c>
      <c r="B21" s="132"/>
      <c r="C21" s="132"/>
      <c r="D21" s="132"/>
      <c r="E21" s="138"/>
      <c r="F21" s="11">
        <v>0</v>
      </c>
      <c r="G21" s="17" t="s">
        <v>162</v>
      </c>
      <c r="H21" s="17" t="s">
        <v>162</v>
      </c>
      <c r="I21" s="11">
        <f aca="true" t="shared" si="0" ref="I21:I26">F21</f>
        <v>0</v>
      </c>
    </row>
    <row r="22" spans="1:9" ht="15" customHeight="1">
      <c r="A22" s="146" t="s">
        <v>185</v>
      </c>
      <c r="B22" s="132"/>
      <c r="C22" s="132"/>
      <c r="D22" s="132"/>
      <c r="E22" s="138"/>
      <c r="F22" s="11">
        <v>0</v>
      </c>
      <c r="G22" s="17" t="s">
        <v>162</v>
      </c>
      <c r="H22" s="17" t="s">
        <v>162</v>
      </c>
      <c r="I22" s="11">
        <f t="shared" si="0"/>
        <v>0</v>
      </c>
    </row>
    <row r="23" spans="1:9" ht="15" customHeight="1">
      <c r="A23" s="146" t="s">
        <v>229</v>
      </c>
      <c r="B23" s="132"/>
      <c r="C23" s="132"/>
      <c r="D23" s="132"/>
      <c r="E23" s="138"/>
      <c r="F23" s="11">
        <v>0</v>
      </c>
      <c r="G23" s="17" t="s">
        <v>162</v>
      </c>
      <c r="H23" s="17" t="s">
        <v>162</v>
      </c>
      <c r="I23" s="11">
        <f t="shared" si="0"/>
        <v>0</v>
      </c>
    </row>
    <row r="24" spans="1:9" ht="15" customHeight="1">
      <c r="A24" s="146" t="s">
        <v>118</v>
      </c>
      <c r="B24" s="132"/>
      <c r="C24" s="132"/>
      <c r="D24" s="132"/>
      <c r="E24" s="138"/>
      <c r="F24" s="11">
        <v>0</v>
      </c>
      <c r="G24" s="17" t="s">
        <v>162</v>
      </c>
      <c r="H24" s="17" t="s">
        <v>162</v>
      </c>
      <c r="I24" s="11">
        <f t="shared" si="0"/>
        <v>0</v>
      </c>
    </row>
    <row r="25" spans="1:9" ht="15" customHeight="1">
      <c r="A25" s="146" t="s">
        <v>151</v>
      </c>
      <c r="B25" s="132"/>
      <c r="C25" s="132"/>
      <c r="D25" s="132"/>
      <c r="E25" s="138"/>
      <c r="F25" s="11">
        <v>0</v>
      </c>
      <c r="G25" s="17" t="s">
        <v>162</v>
      </c>
      <c r="H25" s="17" t="s">
        <v>162</v>
      </c>
      <c r="I25" s="11">
        <f t="shared" si="0"/>
        <v>0</v>
      </c>
    </row>
    <row r="26" spans="1:9" ht="15" customHeight="1">
      <c r="A26" s="130" t="s">
        <v>235</v>
      </c>
      <c r="B26" s="107"/>
      <c r="C26" s="107"/>
      <c r="D26" s="107"/>
      <c r="E26" s="135"/>
      <c r="F26" s="13">
        <v>0</v>
      </c>
      <c r="G26" s="12" t="s">
        <v>162</v>
      </c>
      <c r="H26" s="12" t="s">
        <v>162</v>
      </c>
      <c r="I26" s="13">
        <f t="shared" si="0"/>
        <v>0</v>
      </c>
    </row>
    <row r="27" spans="1:9" ht="15" customHeight="1">
      <c r="A27" s="147" t="s">
        <v>88</v>
      </c>
      <c r="B27" s="148"/>
      <c r="C27" s="148"/>
      <c r="D27" s="148"/>
      <c r="E27" s="149"/>
      <c r="F27" s="15" t="s">
        <v>162</v>
      </c>
      <c r="G27" s="18" t="s">
        <v>162</v>
      </c>
      <c r="H27" s="18" t="s">
        <v>162</v>
      </c>
      <c r="I27" s="5">
        <f>SUM(I21:I26)</f>
        <v>0</v>
      </c>
    </row>
    <row r="29" spans="1:9" ht="15.75" customHeight="1">
      <c r="A29" s="150" t="s">
        <v>254</v>
      </c>
      <c r="B29" s="151"/>
      <c r="C29" s="151"/>
      <c r="D29" s="151"/>
      <c r="E29" s="152"/>
      <c r="F29" s="153">
        <f>I18+I27</f>
        <v>0</v>
      </c>
      <c r="G29" s="154"/>
      <c r="H29" s="154"/>
      <c r="I29" s="155"/>
    </row>
    <row r="33" spans="1:5" ht="15.75" customHeight="1">
      <c r="A33" s="139" t="s">
        <v>248</v>
      </c>
      <c r="B33" s="139"/>
      <c r="C33" s="139"/>
      <c r="D33" s="139"/>
      <c r="E33" s="139"/>
    </row>
    <row r="34" spans="1:9" ht="15" customHeight="1">
      <c r="A34" s="143" t="s">
        <v>257</v>
      </c>
      <c r="B34" s="144"/>
      <c r="C34" s="144"/>
      <c r="D34" s="144"/>
      <c r="E34" s="145"/>
      <c r="F34" s="7" t="s">
        <v>252</v>
      </c>
      <c r="G34" s="7" t="s">
        <v>207</v>
      </c>
      <c r="H34" s="7" t="s">
        <v>50</v>
      </c>
      <c r="I34" s="7" t="s">
        <v>252</v>
      </c>
    </row>
    <row r="35" spans="1:9" ht="15" customHeight="1">
      <c r="A35" s="130" t="s">
        <v>162</v>
      </c>
      <c r="B35" s="107"/>
      <c r="C35" s="107"/>
      <c r="D35" s="107"/>
      <c r="E35" s="135"/>
      <c r="F35" s="13">
        <v>0</v>
      </c>
      <c r="G35" s="12" t="s">
        <v>162</v>
      </c>
      <c r="H35" s="12" t="s">
        <v>162</v>
      </c>
      <c r="I35" s="13">
        <f>F35</f>
        <v>0</v>
      </c>
    </row>
    <row r="36" spans="1:9" ht="15" customHeight="1">
      <c r="A36" s="147" t="s">
        <v>76</v>
      </c>
      <c r="B36" s="148"/>
      <c r="C36" s="148"/>
      <c r="D36" s="148"/>
      <c r="E36" s="149"/>
      <c r="F36" s="15" t="s">
        <v>162</v>
      </c>
      <c r="G36" s="18" t="s">
        <v>162</v>
      </c>
      <c r="H36" s="18" t="s">
        <v>162</v>
      </c>
      <c r="I36" s="5">
        <f>SUM(I35:I35)</f>
        <v>0</v>
      </c>
    </row>
  </sheetData>
  <sheetProtection/>
  <mergeCells count="51"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I8:I9"/>
    <mergeCell ref="I10:I11"/>
    <mergeCell ref="E2:E3"/>
    <mergeCell ref="E4:E5"/>
    <mergeCell ref="E6:E7"/>
    <mergeCell ref="F2:G3"/>
    <mergeCell ref="F4:G5"/>
    <mergeCell ref="F10:G11"/>
    <mergeCell ref="E10:E11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F6:G7"/>
    <mergeCell ref="F8:G9"/>
    <mergeCell ref="I2:I3"/>
    <mergeCell ref="I4:I5"/>
    <mergeCell ref="I6:I7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Soňa Mrkvicová</cp:lastModifiedBy>
  <cp:lastPrinted>2024-02-28T15:01:09Z</cp:lastPrinted>
  <dcterms:created xsi:type="dcterms:W3CDTF">2021-06-10T20:06:38Z</dcterms:created>
  <dcterms:modified xsi:type="dcterms:W3CDTF">2024-02-28T15:05:38Z</dcterms:modified>
  <cp:category/>
  <cp:version/>
  <cp:contentType/>
  <cp:contentStatus/>
</cp:coreProperties>
</file>