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CD_stavby\Sona\MS_Pellicova_REKCE KUCHYNĚ_STAVBA\4_VV\"/>
    </mc:Choice>
  </mc:AlternateContent>
  <bookViews>
    <workbookView xWindow="0" yWindow="0" windowWidth="28800" windowHeight="11700" firstSheet="1" activeTab="1"/>
  </bookViews>
  <sheets>
    <sheet name="VORN" sheetId="2" state="hidden" r:id="rId1"/>
    <sheet name="4_VV_Vzduchotechnika" sheetId="3" r:id="rId2"/>
  </sheets>
  <definedNames>
    <definedName name="_xlnm.Print_Titles" localSheetId="1">'4_VV_Vzduchotechnika'!$3:$7</definedName>
    <definedName name="_xlnm.Print_Area" localSheetId="1">'4_VV_Vzduchotechnika'!$A$1:$K$106</definedName>
    <definedName name="vorn_sum">VORN!$I$36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I13" i="3"/>
  <c r="AX98" i="3" l="1"/>
  <c r="AT98" i="3"/>
  <c r="AR98" i="3"/>
  <c r="AD98" i="3"/>
  <c r="AL98" i="3" s="1"/>
  <c r="AC98" i="3"/>
  <c r="AK98" i="3" s="1"/>
  <c r="Y98" i="3"/>
  <c r="X98" i="3"/>
  <c r="V98" i="3"/>
  <c r="U98" i="3"/>
  <c r="T98" i="3"/>
  <c r="S98" i="3"/>
  <c r="R98" i="3"/>
  <c r="N98" i="3"/>
  <c r="J98" i="3"/>
  <c r="Z98" i="3" s="1"/>
  <c r="I98" i="3"/>
  <c r="H98" i="3"/>
  <c r="AQ98" i="3" l="1"/>
  <c r="AJ98" i="3"/>
  <c r="AV98" i="3"/>
  <c r="P98" i="3" s="1"/>
  <c r="AW98" i="3"/>
  <c r="Q98" i="3" s="1"/>
  <c r="AX100" i="3"/>
  <c r="AT100" i="3"/>
  <c r="AR100" i="3"/>
  <c r="AD100" i="3"/>
  <c r="I100" i="3" s="1"/>
  <c r="AC100" i="3"/>
  <c r="AV100" i="3" s="1"/>
  <c r="P100" i="3" s="1"/>
  <c r="Y100" i="3"/>
  <c r="X100" i="3"/>
  <c r="V100" i="3"/>
  <c r="U100" i="3"/>
  <c r="T100" i="3"/>
  <c r="S100" i="3"/>
  <c r="R100" i="3"/>
  <c r="N100" i="3"/>
  <c r="J100" i="3"/>
  <c r="Z100" i="3" s="1"/>
  <c r="AX99" i="3"/>
  <c r="AT99" i="3"/>
  <c r="AR99" i="3"/>
  <c r="AD99" i="3"/>
  <c r="AW99" i="3" s="1"/>
  <c r="Q99" i="3" s="1"/>
  <c r="AC99" i="3"/>
  <c r="AV99" i="3" s="1"/>
  <c r="P99" i="3" s="1"/>
  <c r="Y99" i="3"/>
  <c r="X99" i="3"/>
  <c r="V99" i="3"/>
  <c r="U99" i="3"/>
  <c r="T99" i="3"/>
  <c r="S99" i="3"/>
  <c r="R99" i="3"/>
  <c r="N99" i="3"/>
  <c r="J99" i="3"/>
  <c r="Z99" i="3" s="1"/>
  <c r="AX97" i="3"/>
  <c r="AT97" i="3"/>
  <c r="AR97" i="3"/>
  <c r="AD97" i="3"/>
  <c r="AL97" i="3" s="1"/>
  <c r="AC97" i="3"/>
  <c r="AV97" i="3" s="1"/>
  <c r="P97" i="3" s="1"/>
  <c r="Y97" i="3"/>
  <c r="X97" i="3"/>
  <c r="V97" i="3"/>
  <c r="U97" i="3"/>
  <c r="T97" i="3"/>
  <c r="S97" i="3"/>
  <c r="R97" i="3"/>
  <c r="N97" i="3"/>
  <c r="J97" i="3"/>
  <c r="Z97" i="3" s="1"/>
  <c r="AX96" i="3"/>
  <c r="AT96" i="3"/>
  <c r="AR96" i="3"/>
  <c r="AD96" i="3"/>
  <c r="AW96" i="3" s="1"/>
  <c r="Q96" i="3" s="1"/>
  <c r="AC96" i="3"/>
  <c r="AV96" i="3" s="1"/>
  <c r="P96" i="3" s="1"/>
  <c r="Y96" i="3"/>
  <c r="X96" i="3"/>
  <c r="V96" i="3"/>
  <c r="U96" i="3"/>
  <c r="T96" i="3"/>
  <c r="S96" i="3"/>
  <c r="R96" i="3"/>
  <c r="N96" i="3"/>
  <c r="J96" i="3"/>
  <c r="Z96" i="3" s="1"/>
  <c r="AX95" i="3"/>
  <c r="AT95" i="3"/>
  <c r="AR95" i="3"/>
  <c r="AD95" i="3"/>
  <c r="AW95" i="3" s="1"/>
  <c r="Q95" i="3" s="1"/>
  <c r="AC95" i="3"/>
  <c r="AV95" i="3" s="1"/>
  <c r="P95" i="3" s="1"/>
  <c r="Y95" i="3"/>
  <c r="X95" i="3"/>
  <c r="V95" i="3"/>
  <c r="U95" i="3"/>
  <c r="T95" i="3"/>
  <c r="S95" i="3"/>
  <c r="R95" i="3"/>
  <c r="N95" i="3"/>
  <c r="J95" i="3"/>
  <c r="Z95" i="3" s="1"/>
  <c r="AX92" i="3"/>
  <c r="AT92" i="3"/>
  <c r="AR92" i="3"/>
  <c r="AD92" i="3"/>
  <c r="AW92" i="3" s="1"/>
  <c r="Q92" i="3" s="1"/>
  <c r="AC92" i="3"/>
  <c r="H92" i="3" s="1"/>
  <c r="Y92" i="3"/>
  <c r="X92" i="3"/>
  <c r="V92" i="3"/>
  <c r="U92" i="3"/>
  <c r="T92" i="3"/>
  <c r="S92" i="3"/>
  <c r="R92" i="3"/>
  <c r="N92" i="3"/>
  <c r="J92" i="3"/>
  <c r="Z92" i="3" s="1"/>
  <c r="AX91" i="3"/>
  <c r="N91" i="3" s="1"/>
  <c r="AT91" i="3"/>
  <c r="AR91" i="3"/>
  <c r="AD91" i="3"/>
  <c r="I91" i="3" s="1"/>
  <c r="AC91" i="3"/>
  <c r="H91" i="3" s="1"/>
  <c r="Y91" i="3"/>
  <c r="X91" i="3"/>
  <c r="V91" i="3"/>
  <c r="U91" i="3"/>
  <c r="T91" i="3"/>
  <c r="S91" i="3"/>
  <c r="R91" i="3"/>
  <c r="Q91" i="3"/>
  <c r="P91" i="3"/>
  <c r="J91" i="3"/>
  <c r="Z91" i="3" s="1"/>
  <c r="AX88" i="3"/>
  <c r="AT88" i="3"/>
  <c r="AR88" i="3"/>
  <c r="AD88" i="3"/>
  <c r="AW88" i="3" s="1"/>
  <c r="Q88" i="3" s="1"/>
  <c r="AC88" i="3"/>
  <c r="H88" i="3" s="1"/>
  <c r="Y88" i="3"/>
  <c r="X88" i="3"/>
  <c r="V88" i="3"/>
  <c r="U88" i="3"/>
  <c r="T88" i="3"/>
  <c r="S88" i="3"/>
  <c r="R88" i="3"/>
  <c r="N88" i="3"/>
  <c r="J88" i="3"/>
  <c r="Z88" i="3" s="1"/>
  <c r="AX87" i="3"/>
  <c r="AT87" i="3"/>
  <c r="AR87" i="3"/>
  <c r="AD87" i="3"/>
  <c r="I87" i="3" s="1"/>
  <c r="AC87" i="3"/>
  <c r="AK87" i="3" s="1"/>
  <c r="Y87" i="3"/>
  <c r="X87" i="3"/>
  <c r="V87" i="3"/>
  <c r="U87" i="3"/>
  <c r="T87" i="3"/>
  <c r="S87" i="3"/>
  <c r="R87" i="3"/>
  <c r="N87" i="3"/>
  <c r="J87" i="3"/>
  <c r="Z87" i="3" s="1"/>
  <c r="AX86" i="3"/>
  <c r="AT86" i="3"/>
  <c r="AR86" i="3"/>
  <c r="AD86" i="3"/>
  <c r="AL86" i="3" s="1"/>
  <c r="AC86" i="3"/>
  <c r="AV86" i="3" s="1"/>
  <c r="P86" i="3" s="1"/>
  <c r="Y86" i="3"/>
  <c r="X86" i="3"/>
  <c r="V86" i="3"/>
  <c r="U86" i="3"/>
  <c r="T86" i="3"/>
  <c r="S86" i="3"/>
  <c r="R86" i="3"/>
  <c r="N86" i="3"/>
  <c r="J86" i="3"/>
  <c r="Z86" i="3" s="1"/>
  <c r="AX84" i="3"/>
  <c r="AT84" i="3"/>
  <c r="AR84" i="3"/>
  <c r="AD84" i="3"/>
  <c r="AW84" i="3" s="1"/>
  <c r="Q84" i="3" s="1"/>
  <c r="AC84" i="3"/>
  <c r="AV84" i="3" s="1"/>
  <c r="P84" i="3" s="1"/>
  <c r="Y84" i="3"/>
  <c r="X84" i="3"/>
  <c r="V84" i="3"/>
  <c r="U84" i="3"/>
  <c r="T84" i="3"/>
  <c r="S84" i="3"/>
  <c r="R84" i="3"/>
  <c r="N84" i="3"/>
  <c r="J84" i="3"/>
  <c r="Z84" i="3" s="1"/>
  <c r="AX82" i="3"/>
  <c r="AT82" i="3"/>
  <c r="AR82" i="3"/>
  <c r="AD82" i="3"/>
  <c r="I82" i="3" s="1"/>
  <c r="AC82" i="3"/>
  <c r="AV82" i="3" s="1"/>
  <c r="P82" i="3" s="1"/>
  <c r="Y82" i="3"/>
  <c r="X82" i="3"/>
  <c r="V82" i="3"/>
  <c r="U82" i="3"/>
  <c r="T82" i="3"/>
  <c r="S82" i="3"/>
  <c r="R82" i="3"/>
  <c r="N82" i="3"/>
  <c r="J82" i="3"/>
  <c r="Z82" i="3" s="1"/>
  <c r="AX81" i="3"/>
  <c r="AT81" i="3"/>
  <c r="AR81" i="3"/>
  <c r="AD81" i="3"/>
  <c r="AW81" i="3" s="1"/>
  <c r="Q81" i="3" s="1"/>
  <c r="AC81" i="3"/>
  <c r="AV81" i="3" s="1"/>
  <c r="P81" i="3" s="1"/>
  <c r="Y81" i="3"/>
  <c r="X81" i="3"/>
  <c r="V81" i="3"/>
  <c r="U81" i="3"/>
  <c r="T81" i="3"/>
  <c r="S81" i="3"/>
  <c r="R81" i="3"/>
  <c r="N81" i="3"/>
  <c r="J81" i="3"/>
  <c r="Z81" i="3" s="1"/>
  <c r="AX80" i="3"/>
  <c r="AT80" i="3"/>
  <c r="AR80" i="3"/>
  <c r="AD80" i="3"/>
  <c r="AC80" i="3"/>
  <c r="AV80" i="3" s="1"/>
  <c r="P80" i="3" s="1"/>
  <c r="Y80" i="3"/>
  <c r="X80" i="3"/>
  <c r="V80" i="3"/>
  <c r="U80" i="3"/>
  <c r="T80" i="3"/>
  <c r="S80" i="3"/>
  <c r="R80" i="3"/>
  <c r="N80" i="3"/>
  <c r="J80" i="3"/>
  <c r="Z80" i="3" s="1"/>
  <c r="AX79" i="3"/>
  <c r="AT79" i="3"/>
  <c r="AR79" i="3"/>
  <c r="AD79" i="3"/>
  <c r="AW79" i="3" s="1"/>
  <c r="Q79" i="3" s="1"/>
  <c r="AC79" i="3"/>
  <c r="AK79" i="3" s="1"/>
  <c r="Y79" i="3"/>
  <c r="X79" i="3"/>
  <c r="V79" i="3"/>
  <c r="U79" i="3"/>
  <c r="T79" i="3"/>
  <c r="S79" i="3"/>
  <c r="R79" i="3"/>
  <c r="N79" i="3"/>
  <c r="J79" i="3"/>
  <c r="Z79" i="3" s="1"/>
  <c r="AX78" i="3"/>
  <c r="AT78" i="3"/>
  <c r="AR78" i="3"/>
  <c r="AD78" i="3"/>
  <c r="AL78" i="3" s="1"/>
  <c r="AC78" i="3"/>
  <c r="H78" i="3" s="1"/>
  <c r="Y78" i="3"/>
  <c r="X78" i="3"/>
  <c r="V78" i="3"/>
  <c r="U78" i="3"/>
  <c r="T78" i="3"/>
  <c r="S78" i="3"/>
  <c r="R78" i="3"/>
  <c r="N78" i="3"/>
  <c r="J78" i="3"/>
  <c r="AX76" i="3"/>
  <c r="AT76" i="3"/>
  <c r="AR76" i="3"/>
  <c r="AD76" i="3"/>
  <c r="AW76" i="3" s="1"/>
  <c r="Q76" i="3" s="1"/>
  <c r="AC76" i="3"/>
  <c r="AV76" i="3" s="1"/>
  <c r="P76" i="3" s="1"/>
  <c r="Y76" i="3"/>
  <c r="X76" i="3"/>
  <c r="V76" i="3"/>
  <c r="U76" i="3"/>
  <c r="T76" i="3"/>
  <c r="S76" i="3"/>
  <c r="R76" i="3"/>
  <c r="N76" i="3"/>
  <c r="J76" i="3"/>
  <c r="Z76" i="3" s="1"/>
  <c r="AX75" i="3"/>
  <c r="AT75" i="3"/>
  <c r="AR75" i="3"/>
  <c r="AD75" i="3"/>
  <c r="AW75" i="3" s="1"/>
  <c r="Q75" i="3" s="1"/>
  <c r="AC75" i="3"/>
  <c r="H75" i="3" s="1"/>
  <c r="Y75" i="3"/>
  <c r="X75" i="3"/>
  <c r="V75" i="3"/>
  <c r="U75" i="3"/>
  <c r="T75" i="3"/>
  <c r="S75" i="3"/>
  <c r="R75" i="3"/>
  <c r="N75" i="3"/>
  <c r="J75" i="3"/>
  <c r="Z75" i="3" s="1"/>
  <c r="AX74" i="3"/>
  <c r="AT74" i="3"/>
  <c r="AR74" i="3"/>
  <c r="AD74" i="3"/>
  <c r="I74" i="3" s="1"/>
  <c r="AC74" i="3"/>
  <c r="AV74" i="3" s="1"/>
  <c r="P74" i="3" s="1"/>
  <c r="Y74" i="3"/>
  <c r="X74" i="3"/>
  <c r="V74" i="3"/>
  <c r="U74" i="3"/>
  <c r="T74" i="3"/>
  <c r="S74" i="3"/>
  <c r="R74" i="3"/>
  <c r="N74" i="3"/>
  <c r="J74" i="3"/>
  <c r="Z74" i="3" s="1"/>
  <c r="AX73" i="3"/>
  <c r="AT73" i="3"/>
  <c r="AR73" i="3"/>
  <c r="AD73" i="3"/>
  <c r="AW73" i="3" s="1"/>
  <c r="Q73" i="3" s="1"/>
  <c r="AC73" i="3"/>
  <c r="AV73" i="3" s="1"/>
  <c r="P73" i="3" s="1"/>
  <c r="Y73" i="3"/>
  <c r="X73" i="3"/>
  <c r="V73" i="3"/>
  <c r="U73" i="3"/>
  <c r="T73" i="3"/>
  <c r="S73" i="3"/>
  <c r="R73" i="3"/>
  <c r="N73" i="3"/>
  <c r="J73" i="3"/>
  <c r="Z73" i="3" s="1"/>
  <c r="AX72" i="3"/>
  <c r="AT72" i="3"/>
  <c r="AR72" i="3"/>
  <c r="AD72" i="3"/>
  <c r="AW72" i="3" s="1"/>
  <c r="Q72" i="3" s="1"/>
  <c r="AC72" i="3"/>
  <c r="H72" i="3" s="1"/>
  <c r="Y72" i="3"/>
  <c r="X72" i="3"/>
  <c r="V72" i="3"/>
  <c r="U72" i="3"/>
  <c r="T72" i="3"/>
  <c r="S72" i="3"/>
  <c r="R72" i="3"/>
  <c r="N72" i="3"/>
  <c r="J72" i="3"/>
  <c r="AX69" i="3"/>
  <c r="AT69" i="3"/>
  <c r="AR69" i="3"/>
  <c r="AD69" i="3"/>
  <c r="AW69" i="3" s="1"/>
  <c r="Q69" i="3" s="1"/>
  <c r="AC69" i="3"/>
  <c r="AV69" i="3" s="1"/>
  <c r="P69" i="3" s="1"/>
  <c r="Y69" i="3"/>
  <c r="X69" i="3"/>
  <c r="V69" i="3"/>
  <c r="U69" i="3"/>
  <c r="T69" i="3"/>
  <c r="S69" i="3"/>
  <c r="R69" i="3"/>
  <c r="N69" i="3"/>
  <c r="J69" i="3"/>
  <c r="Z69" i="3" s="1"/>
  <c r="AX67" i="3"/>
  <c r="AT67" i="3"/>
  <c r="AR67" i="3"/>
  <c r="AD67" i="3"/>
  <c r="AW67" i="3" s="1"/>
  <c r="Q67" i="3" s="1"/>
  <c r="AC67" i="3"/>
  <c r="H67" i="3" s="1"/>
  <c r="Y67" i="3"/>
  <c r="X67" i="3"/>
  <c r="V67" i="3"/>
  <c r="U67" i="3"/>
  <c r="T67" i="3"/>
  <c r="S67" i="3"/>
  <c r="R67" i="3"/>
  <c r="N67" i="3"/>
  <c r="J67" i="3"/>
  <c r="Z67" i="3" s="1"/>
  <c r="AX66" i="3"/>
  <c r="AT66" i="3"/>
  <c r="AR66" i="3"/>
  <c r="AD66" i="3"/>
  <c r="I66" i="3" s="1"/>
  <c r="AC66" i="3"/>
  <c r="AV66" i="3" s="1"/>
  <c r="P66" i="3" s="1"/>
  <c r="Y66" i="3"/>
  <c r="X66" i="3"/>
  <c r="V66" i="3"/>
  <c r="U66" i="3"/>
  <c r="T66" i="3"/>
  <c r="S66" i="3"/>
  <c r="R66" i="3"/>
  <c r="N66" i="3"/>
  <c r="J66" i="3"/>
  <c r="Z66" i="3" s="1"/>
  <c r="AX65" i="3"/>
  <c r="AT65" i="3"/>
  <c r="AR65" i="3"/>
  <c r="AD65" i="3"/>
  <c r="AC65" i="3"/>
  <c r="AV65" i="3" s="1"/>
  <c r="P65" i="3" s="1"/>
  <c r="Y65" i="3"/>
  <c r="X65" i="3"/>
  <c r="V65" i="3"/>
  <c r="U65" i="3"/>
  <c r="T65" i="3"/>
  <c r="S65" i="3"/>
  <c r="R65" i="3"/>
  <c r="N65" i="3"/>
  <c r="J65" i="3"/>
  <c r="Z65" i="3" s="1"/>
  <c r="AX63" i="3"/>
  <c r="AT63" i="3"/>
  <c r="AR63" i="3"/>
  <c r="AD63" i="3"/>
  <c r="AW63" i="3" s="1"/>
  <c r="Q63" i="3" s="1"/>
  <c r="AC63" i="3"/>
  <c r="AV63" i="3" s="1"/>
  <c r="P63" i="3" s="1"/>
  <c r="Y63" i="3"/>
  <c r="X63" i="3"/>
  <c r="V63" i="3"/>
  <c r="U63" i="3"/>
  <c r="T63" i="3"/>
  <c r="S63" i="3"/>
  <c r="R63" i="3"/>
  <c r="N63" i="3"/>
  <c r="J63" i="3"/>
  <c r="Z63" i="3" s="1"/>
  <c r="AX61" i="3"/>
  <c r="AT61" i="3"/>
  <c r="AR61" i="3"/>
  <c r="AD61" i="3"/>
  <c r="AW61" i="3" s="1"/>
  <c r="Q61" i="3" s="1"/>
  <c r="AC61" i="3"/>
  <c r="AV61" i="3" s="1"/>
  <c r="P61" i="3" s="1"/>
  <c r="Y61" i="3"/>
  <c r="X61" i="3"/>
  <c r="V61" i="3"/>
  <c r="U61" i="3"/>
  <c r="T61" i="3"/>
  <c r="S61" i="3"/>
  <c r="R61" i="3"/>
  <c r="N61" i="3"/>
  <c r="J61" i="3"/>
  <c r="Z61" i="3" s="1"/>
  <c r="AX59" i="3"/>
  <c r="AT59" i="3"/>
  <c r="AR59" i="3"/>
  <c r="AD59" i="3"/>
  <c r="I59" i="3" s="1"/>
  <c r="AC59" i="3"/>
  <c r="H59" i="3" s="1"/>
  <c r="Y59" i="3"/>
  <c r="X59" i="3"/>
  <c r="V59" i="3"/>
  <c r="U59" i="3"/>
  <c r="T59" i="3"/>
  <c r="S59" i="3"/>
  <c r="R59" i="3"/>
  <c r="N59" i="3"/>
  <c r="J59" i="3"/>
  <c r="Z59" i="3" s="1"/>
  <c r="AX58" i="3"/>
  <c r="AT58" i="3"/>
  <c r="AR58" i="3"/>
  <c r="AD58" i="3"/>
  <c r="I58" i="3" s="1"/>
  <c r="AC58" i="3"/>
  <c r="AV58" i="3" s="1"/>
  <c r="P58" i="3" s="1"/>
  <c r="Y58" i="3"/>
  <c r="X58" i="3"/>
  <c r="V58" i="3"/>
  <c r="U58" i="3"/>
  <c r="T58" i="3"/>
  <c r="S58" i="3"/>
  <c r="R58" i="3"/>
  <c r="N58" i="3"/>
  <c r="J58" i="3"/>
  <c r="Z58" i="3" s="1"/>
  <c r="AX57" i="3"/>
  <c r="AT57" i="3"/>
  <c r="AR57" i="3"/>
  <c r="AD57" i="3"/>
  <c r="AW57" i="3" s="1"/>
  <c r="Q57" i="3" s="1"/>
  <c r="AC57" i="3"/>
  <c r="AV57" i="3" s="1"/>
  <c r="P57" i="3" s="1"/>
  <c r="Y57" i="3"/>
  <c r="X57" i="3"/>
  <c r="V57" i="3"/>
  <c r="U57" i="3"/>
  <c r="T57" i="3"/>
  <c r="S57" i="3"/>
  <c r="R57" i="3"/>
  <c r="N57" i="3"/>
  <c r="J57" i="3"/>
  <c r="Z57" i="3" s="1"/>
  <c r="AX56" i="3"/>
  <c r="AT56" i="3"/>
  <c r="AR56" i="3"/>
  <c r="AD56" i="3"/>
  <c r="AW56" i="3" s="1"/>
  <c r="Q56" i="3" s="1"/>
  <c r="AC56" i="3"/>
  <c r="H56" i="3" s="1"/>
  <c r="Y56" i="3"/>
  <c r="X56" i="3"/>
  <c r="V56" i="3"/>
  <c r="U56" i="3"/>
  <c r="T56" i="3"/>
  <c r="S56" i="3"/>
  <c r="R56" i="3"/>
  <c r="N56" i="3"/>
  <c r="J56" i="3"/>
  <c r="AX54" i="3"/>
  <c r="AT54" i="3"/>
  <c r="AR54" i="3"/>
  <c r="AD54" i="3"/>
  <c r="AW54" i="3" s="1"/>
  <c r="Q54" i="3" s="1"/>
  <c r="AC54" i="3"/>
  <c r="AV54" i="3" s="1"/>
  <c r="P54" i="3" s="1"/>
  <c r="Y54" i="3"/>
  <c r="X54" i="3"/>
  <c r="V54" i="3"/>
  <c r="U54" i="3"/>
  <c r="T54" i="3"/>
  <c r="S54" i="3"/>
  <c r="R54" i="3"/>
  <c r="N54" i="3"/>
  <c r="J54" i="3"/>
  <c r="Z54" i="3" s="1"/>
  <c r="AX52" i="3"/>
  <c r="AT52" i="3"/>
  <c r="AR52" i="3"/>
  <c r="AD52" i="3"/>
  <c r="AW52" i="3" s="1"/>
  <c r="Q52" i="3" s="1"/>
  <c r="AC52" i="3"/>
  <c r="H52" i="3" s="1"/>
  <c r="Y52" i="3"/>
  <c r="X52" i="3"/>
  <c r="V52" i="3"/>
  <c r="U52" i="3"/>
  <c r="T52" i="3"/>
  <c r="S52" i="3"/>
  <c r="R52" i="3"/>
  <c r="N52" i="3"/>
  <c r="J52" i="3"/>
  <c r="Z52" i="3" s="1"/>
  <c r="AX51" i="3"/>
  <c r="AT51" i="3"/>
  <c r="AR51" i="3"/>
  <c r="AD51" i="3"/>
  <c r="I51" i="3" s="1"/>
  <c r="AC51" i="3"/>
  <c r="AV51" i="3" s="1"/>
  <c r="P51" i="3" s="1"/>
  <c r="Y51" i="3"/>
  <c r="X51" i="3"/>
  <c r="V51" i="3"/>
  <c r="U51" i="3"/>
  <c r="T51" i="3"/>
  <c r="S51" i="3"/>
  <c r="R51" i="3"/>
  <c r="N51" i="3"/>
  <c r="J51" i="3"/>
  <c r="Z51" i="3" s="1"/>
  <c r="AX49" i="3"/>
  <c r="AT49" i="3"/>
  <c r="AR49" i="3"/>
  <c r="AD49" i="3"/>
  <c r="AW49" i="3" s="1"/>
  <c r="Q49" i="3" s="1"/>
  <c r="AC49" i="3"/>
  <c r="AK49" i="3" s="1"/>
  <c r="Y49" i="3"/>
  <c r="X49" i="3"/>
  <c r="V49" i="3"/>
  <c r="U49" i="3"/>
  <c r="T49" i="3"/>
  <c r="S49" i="3"/>
  <c r="R49" i="3"/>
  <c r="N49" i="3"/>
  <c r="J49" i="3"/>
  <c r="Z49" i="3" s="1"/>
  <c r="AX47" i="3"/>
  <c r="AT47" i="3"/>
  <c r="AR47" i="3"/>
  <c r="AD47" i="3"/>
  <c r="AL47" i="3" s="1"/>
  <c r="AC47" i="3"/>
  <c r="AV47" i="3" s="1"/>
  <c r="P47" i="3" s="1"/>
  <c r="Y47" i="3"/>
  <c r="X47" i="3"/>
  <c r="V47" i="3"/>
  <c r="U47" i="3"/>
  <c r="T47" i="3"/>
  <c r="S47" i="3"/>
  <c r="R47" i="3"/>
  <c r="N47" i="3"/>
  <c r="J47" i="3"/>
  <c r="Z47" i="3" s="1"/>
  <c r="AX45" i="3"/>
  <c r="AT45" i="3"/>
  <c r="AR45" i="3"/>
  <c r="AD45" i="3"/>
  <c r="AW45" i="3" s="1"/>
  <c r="Q45" i="3" s="1"/>
  <c r="AC45" i="3"/>
  <c r="AV45" i="3" s="1"/>
  <c r="P45" i="3" s="1"/>
  <c r="Y45" i="3"/>
  <c r="X45" i="3"/>
  <c r="V45" i="3"/>
  <c r="U45" i="3"/>
  <c r="T45" i="3"/>
  <c r="S45" i="3"/>
  <c r="R45" i="3"/>
  <c r="N45" i="3"/>
  <c r="J45" i="3"/>
  <c r="Z45" i="3" s="1"/>
  <c r="AX43" i="3"/>
  <c r="AT43" i="3"/>
  <c r="AR43" i="3"/>
  <c r="AD43" i="3"/>
  <c r="I43" i="3" s="1"/>
  <c r="AC43" i="3"/>
  <c r="H43" i="3" s="1"/>
  <c r="Y43" i="3"/>
  <c r="X43" i="3"/>
  <c r="V43" i="3"/>
  <c r="U43" i="3"/>
  <c r="T43" i="3"/>
  <c r="S43" i="3"/>
  <c r="R43" i="3"/>
  <c r="N43" i="3"/>
  <c r="J43" i="3"/>
  <c r="Z43" i="3" s="1"/>
  <c r="AX41" i="3"/>
  <c r="AT41" i="3"/>
  <c r="AR41" i="3"/>
  <c r="AD41" i="3"/>
  <c r="I41" i="3" s="1"/>
  <c r="AC41" i="3"/>
  <c r="AV41" i="3" s="1"/>
  <c r="P41" i="3" s="1"/>
  <c r="Y41" i="3"/>
  <c r="X41" i="3"/>
  <c r="V41" i="3"/>
  <c r="U41" i="3"/>
  <c r="T41" i="3"/>
  <c r="S41" i="3"/>
  <c r="R41" i="3"/>
  <c r="N41" i="3"/>
  <c r="J41" i="3"/>
  <c r="Z41" i="3" s="1"/>
  <c r="AX39" i="3"/>
  <c r="AT39" i="3"/>
  <c r="AR39" i="3"/>
  <c r="AD39" i="3"/>
  <c r="AW39" i="3" s="1"/>
  <c r="Q39" i="3" s="1"/>
  <c r="AC39" i="3"/>
  <c r="AV39" i="3" s="1"/>
  <c r="P39" i="3" s="1"/>
  <c r="Y39" i="3"/>
  <c r="X39" i="3"/>
  <c r="V39" i="3"/>
  <c r="U39" i="3"/>
  <c r="T39" i="3"/>
  <c r="S39" i="3"/>
  <c r="R39" i="3"/>
  <c r="N39" i="3"/>
  <c r="J39" i="3"/>
  <c r="Z39" i="3" s="1"/>
  <c r="AX37" i="3"/>
  <c r="AT37" i="3"/>
  <c r="AR37" i="3"/>
  <c r="AD37" i="3"/>
  <c r="AW37" i="3" s="1"/>
  <c r="Q37" i="3" s="1"/>
  <c r="AC37" i="3"/>
  <c r="H37" i="3" s="1"/>
  <c r="Y37" i="3"/>
  <c r="X37" i="3"/>
  <c r="V37" i="3"/>
  <c r="U37" i="3"/>
  <c r="T37" i="3"/>
  <c r="S37" i="3"/>
  <c r="R37" i="3"/>
  <c r="N37" i="3"/>
  <c r="J37" i="3"/>
  <c r="Z37" i="3" s="1"/>
  <c r="AX35" i="3"/>
  <c r="AT35" i="3"/>
  <c r="AR35" i="3"/>
  <c r="AD35" i="3"/>
  <c r="I35" i="3" s="1"/>
  <c r="AC35" i="3"/>
  <c r="AV35" i="3" s="1"/>
  <c r="P35" i="3" s="1"/>
  <c r="Y35" i="3"/>
  <c r="X35" i="3"/>
  <c r="V35" i="3"/>
  <c r="U35" i="3"/>
  <c r="T35" i="3"/>
  <c r="S35" i="3"/>
  <c r="R35" i="3"/>
  <c r="N35" i="3"/>
  <c r="J35" i="3"/>
  <c r="Z35" i="3" s="1"/>
  <c r="AX33" i="3"/>
  <c r="AT33" i="3"/>
  <c r="AR33" i="3"/>
  <c r="AD33" i="3"/>
  <c r="AC33" i="3"/>
  <c r="AK33" i="3" s="1"/>
  <c r="Y33" i="3"/>
  <c r="X33" i="3"/>
  <c r="V33" i="3"/>
  <c r="U33" i="3"/>
  <c r="T33" i="3"/>
  <c r="S33" i="3"/>
  <c r="R33" i="3"/>
  <c r="N33" i="3"/>
  <c r="J33" i="3"/>
  <c r="Z33" i="3" s="1"/>
  <c r="AX31" i="3"/>
  <c r="AT31" i="3"/>
  <c r="AR31" i="3"/>
  <c r="AD31" i="3"/>
  <c r="AL31" i="3" s="1"/>
  <c r="AC31" i="3"/>
  <c r="AV31" i="3" s="1"/>
  <c r="P31" i="3" s="1"/>
  <c r="Y31" i="3"/>
  <c r="X31" i="3"/>
  <c r="V31" i="3"/>
  <c r="U31" i="3"/>
  <c r="T31" i="3"/>
  <c r="S31" i="3"/>
  <c r="R31" i="3"/>
  <c r="N31" i="3"/>
  <c r="J31" i="3"/>
  <c r="Z31" i="3" s="1"/>
  <c r="AX29" i="3"/>
  <c r="AT29" i="3"/>
  <c r="AR29" i="3"/>
  <c r="AD29" i="3"/>
  <c r="AW29" i="3" s="1"/>
  <c r="Q29" i="3" s="1"/>
  <c r="AC29" i="3"/>
  <c r="AV29" i="3" s="1"/>
  <c r="P29" i="3" s="1"/>
  <c r="Y29" i="3"/>
  <c r="X29" i="3"/>
  <c r="V29" i="3"/>
  <c r="U29" i="3"/>
  <c r="T29" i="3"/>
  <c r="S29" i="3"/>
  <c r="R29" i="3"/>
  <c r="N29" i="3"/>
  <c r="J29" i="3"/>
  <c r="Z29" i="3" s="1"/>
  <c r="AX26" i="3"/>
  <c r="AT26" i="3"/>
  <c r="AR26" i="3"/>
  <c r="AD26" i="3"/>
  <c r="AW26" i="3" s="1"/>
  <c r="Q26" i="3" s="1"/>
  <c r="AC26" i="3"/>
  <c r="H26" i="3" s="1"/>
  <c r="Y26" i="3"/>
  <c r="X26" i="3"/>
  <c r="V26" i="3"/>
  <c r="U26" i="3"/>
  <c r="T26" i="3"/>
  <c r="S26" i="3"/>
  <c r="R26" i="3"/>
  <c r="N26" i="3"/>
  <c r="J26" i="3"/>
  <c r="Z26" i="3" s="1"/>
  <c r="AX24" i="3"/>
  <c r="AT24" i="3"/>
  <c r="AR24" i="3"/>
  <c r="AD24" i="3"/>
  <c r="I24" i="3" s="1"/>
  <c r="AC24" i="3"/>
  <c r="AV24" i="3" s="1"/>
  <c r="P24" i="3" s="1"/>
  <c r="Y24" i="3"/>
  <c r="X24" i="3"/>
  <c r="V24" i="3"/>
  <c r="U24" i="3"/>
  <c r="T24" i="3"/>
  <c r="S24" i="3"/>
  <c r="R24" i="3"/>
  <c r="N24" i="3"/>
  <c r="J24" i="3"/>
  <c r="Z24" i="3" s="1"/>
  <c r="AX22" i="3"/>
  <c r="AT22" i="3"/>
  <c r="AR22" i="3"/>
  <c r="AD22" i="3"/>
  <c r="I22" i="3" s="1"/>
  <c r="AC22" i="3"/>
  <c r="H22" i="3" s="1"/>
  <c r="Y22" i="3"/>
  <c r="X22" i="3"/>
  <c r="V22" i="3"/>
  <c r="U22" i="3"/>
  <c r="T22" i="3"/>
  <c r="Q22" i="3"/>
  <c r="P22" i="3"/>
  <c r="N22" i="3"/>
  <c r="J22" i="3"/>
  <c r="Z22" i="3" s="1"/>
  <c r="AX21" i="3"/>
  <c r="AT21" i="3"/>
  <c r="AR21" i="3"/>
  <c r="AD21" i="3"/>
  <c r="I21" i="3" s="1"/>
  <c r="AC21" i="3"/>
  <c r="AV21" i="3" s="1"/>
  <c r="R21" i="3" s="1"/>
  <c r="Y21" i="3"/>
  <c r="X21" i="3"/>
  <c r="V21" i="3"/>
  <c r="U21" i="3"/>
  <c r="T21" i="3"/>
  <c r="Q21" i="3"/>
  <c r="P21" i="3"/>
  <c r="N21" i="3"/>
  <c r="J21" i="3"/>
  <c r="Z21" i="3" s="1"/>
  <c r="AX20" i="3"/>
  <c r="AT20" i="3"/>
  <c r="AR20" i="3"/>
  <c r="AD20" i="3"/>
  <c r="AW20" i="3" s="1"/>
  <c r="S20" i="3" s="1"/>
  <c r="AC20" i="3"/>
  <c r="AV20" i="3" s="1"/>
  <c r="R20" i="3" s="1"/>
  <c r="Y20" i="3"/>
  <c r="X20" i="3"/>
  <c r="V20" i="3"/>
  <c r="U20" i="3"/>
  <c r="T20" i="3"/>
  <c r="Q20" i="3"/>
  <c r="P20" i="3"/>
  <c r="N20" i="3"/>
  <c r="J20" i="3"/>
  <c r="Z20" i="3" s="1"/>
  <c r="AX18" i="3"/>
  <c r="AT18" i="3"/>
  <c r="AR18" i="3"/>
  <c r="AD18" i="3"/>
  <c r="AW18" i="3" s="1"/>
  <c r="S18" i="3" s="1"/>
  <c r="AC18" i="3"/>
  <c r="H18" i="3" s="1"/>
  <c r="Y18" i="3"/>
  <c r="X18" i="3"/>
  <c r="V18" i="3"/>
  <c r="U18" i="3"/>
  <c r="T18" i="3"/>
  <c r="Q18" i="3"/>
  <c r="P18" i="3"/>
  <c r="N18" i="3"/>
  <c r="J18" i="3"/>
  <c r="Z18" i="3" s="1"/>
  <c r="AX17" i="3"/>
  <c r="AT17" i="3"/>
  <c r="AR17" i="3"/>
  <c r="AD17" i="3"/>
  <c r="I17" i="3" s="1"/>
  <c r="AC17" i="3"/>
  <c r="AK17" i="3" s="1"/>
  <c r="Y17" i="3"/>
  <c r="X17" i="3"/>
  <c r="V17" i="3"/>
  <c r="U17" i="3"/>
  <c r="T17" i="3"/>
  <c r="Q17" i="3"/>
  <c r="P17" i="3"/>
  <c r="N17" i="3"/>
  <c r="J17" i="3"/>
  <c r="Z17" i="3" s="1"/>
  <c r="AX16" i="3"/>
  <c r="AT16" i="3"/>
  <c r="AR16" i="3"/>
  <c r="AD16" i="3"/>
  <c r="AL16" i="3" s="1"/>
  <c r="AC16" i="3"/>
  <c r="H16" i="3" s="1"/>
  <c r="Y16" i="3"/>
  <c r="X16" i="3"/>
  <c r="V16" i="3"/>
  <c r="U16" i="3"/>
  <c r="T16" i="3"/>
  <c r="Q16" i="3"/>
  <c r="P16" i="3"/>
  <c r="N16" i="3"/>
  <c r="J16" i="3"/>
  <c r="Z16" i="3" s="1"/>
  <c r="AX15" i="3"/>
  <c r="AT15" i="3"/>
  <c r="AR15" i="3"/>
  <c r="AD15" i="3"/>
  <c r="I15" i="3" s="1"/>
  <c r="AC15" i="3"/>
  <c r="AV15" i="3" s="1"/>
  <c r="R15" i="3" s="1"/>
  <c r="Y15" i="3"/>
  <c r="X15" i="3"/>
  <c r="V15" i="3"/>
  <c r="U15" i="3"/>
  <c r="T15" i="3"/>
  <c r="Q15" i="3"/>
  <c r="P15" i="3"/>
  <c r="N15" i="3"/>
  <c r="J15" i="3"/>
  <c r="Z15" i="3" s="1"/>
  <c r="AX14" i="3"/>
  <c r="AT14" i="3"/>
  <c r="AR14" i="3"/>
  <c r="AD14" i="3"/>
  <c r="AW14" i="3" s="1"/>
  <c r="S14" i="3" s="1"/>
  <c r="AC14" i="3"/>
  <c r="AV14" i="3" s="1"/>
  <c r="R14" i="3" s="1"/>
  <c r="Y14" i="3"/>
  <c r="X14" i="3"/>
  <c r="V14" i="3"/>
  <c r="U14" i="3"/>
  <c r="T14" i="3"/>
  <c r="Q14" i="3"/>
  <c r="P14" i="3"/>
  <c r="N14" i="3"/>
  <c r="J14" i="3"/>
  <c r="Z14" i="3" s="1"/>
  <c r="AX13" i="3"/>
  <c r="AT13" i="3"/>
  <c r="AR13" i="3"/>
  <c r="AD13" i="3"/>
  <c r="AC13" i="3"/>
  <c r="Y13" i="3"/>
  <c r="X13" i="3"/>
  <c r="V13" i="3"/>
  <c r="U13" i="3"/>
  <c r="T13" i="3"/>
  <c r="Q13" i="3"/>
  <c r="P13" i="3"/>
  <c r="N13" i="3"/>
  <c r="J13" i="3"/>
  <c r="Z13" i="3" s="1"/>
  <c r="AX12" i="3"/>
  <c r="AT12" i="3"/>
  <c r="AR12" i="3"/>
  <c r="AD12" i="3"/>
  <c r="I12" i="3" s="1"/>
  <c r="AC12" i="3"/>
  <c r="AV12" i="3" s="1"/>
  <c r="R12" i="3" s="1"/>
  <c r="Y12" i="3"/>
  <c r="X12" i="3"/>
  <c r="V12" i="3"/>
  <c r="U12" i="3"/>
  <c r="T12" i="3"/>
  <c r="Q12" i="3"/>
  <c r="P12" i="3"/>
  <c r="N12" i="3"/>
  <c r="J12" i="3"/>
  <c r="AX11" i="3"/>
  <c r="AT11" i="3"/>
  <c r="AR11" i="3"/>
  <c r="AD11" i="3"/>
  <c r="AL11" i="3" s="1"/>
  <c r="AC11" i="3"/>
  <c r="H11" i="3" s="1"/>
  <c r="Y11" i="3"/>
  <c r="X11" i="3"/>
  <c r="V11" i="3"/>
  <c r="U11" i="3"/>
  <c r="T11" i="3"/>
  <c r="Q11" i="3"/>
  <c r="P11" i="3"/>
  <c r="N11" i="3"/>
  <c r="J11" i="3"/>
  <c r="Z11" i="3" s="1"/>
  <c r="I35" i="2"/>
  <c r="I36" i="2" s="1"/>
  <c r="I27" i="2"/>
  <c r="I26" i="2"/>
  <c r="I25" i="2"/>
  <c r="I24" i="2"/>
  <c r="I23" i="2"/>
  <c r="I22" i="2"/>
  <c r="I21" i="2"/>
  <c r="I17" i="2"/>
  <c r="I16" i="2"/>
  <c r="I15" i="2"/>
  <c r="I10" i="2"/>
  <c r="F10" i="2"/>
  <c r="C10" i="2"/>
  <c r="F8" i="2"/>
  <c r="C8" i="2"/>
  <c r="F6" i="2"/>
  <c r="C6" i="2"/>
  <c r="F4" i="2"/>
  <c r="C4" i="2"/>
  <c r="F2" i="2"/>
  <c r="C2" i="2"/>
  <c r="I16" i="3" l="1"/>
  <c r="H14" i="3"/>
  <c r="I14" i="3"/>
  <c r="I95" i="3"/>
  <c r="H12" i="3"/>
  <c r="AL73" i="3"/>
  <c r="H58" i="3"/>
  <c r="H21" i="3"/>
  <c r="I79" i="3"/>
  <c r="I18" i="3"/>
  <c r="AK96" i="3"/>
  <c r="AK88" i="3"/>
  <c r="AL96" i="3"/>
  <c r="AL88" i="3"/>
  <c r="AK54" i="3"/>
  <c r="AK24" i="3"/>
  <c r="AQ24" i="3" s="1"/>
  <c r="AH77" i="3"/>
  <c r="AK29" i="3"/>
  <c r="AL39" i="3"/>
  <c r="H45" i="3"/>
  <c r="I45" i="3"/>
  <c r="H96" i="3"/>
  <c r="AG55" i="3"/>
  <c r="I96" i="3"/>
  <c r="I88" i="3"/>
  <c r="H74" i="3"/>
  <c r="H29" i="3"/>
  <c r="I67" i="3"/>
  <c r="H24" i="3"/>
  <c r="I29" i="3"/>
  <c r="AL51" i="3"/>
  <c r="AK69" i="3"/>
  <c r="AL69" i="3"/>
  <c r="AW22" i="3"/>
  <c r="S22" i="3" s="1"/>
  <c r="AK39" i="3"/>
  <c r="AK73" i="3"/>
  <c r="AW17" i="3"/>
  <c r="S17" i="3" s="1"/>
  <c r="AW51" i="3"/>
  <c r="Q51" i="3" s="1"/>
  <c r="AL54" i="3"/>
  <c r="AV78" i="3"/>
  <c r="P78" i="3" s="1"/>
  <c r="AK57" i="3"/>
  <c r="AL57" i="3"/>
  <c r="AH83" i="3"/>
  <c r="AL87" i="3"/>
  <c r="AJ87" i="3" s="1"/>
  <c r="AH71" i="3"/>
  <c r="AK18" i="3"/>
  <c r="AL24" i="3"/>
  <c r="AV37" i="3"/>
  <c r="P37" i="3" s="1"/>
  <c r="AL45" i="3"/>
  <c r="AL79" i="3"/>
  <c r="AJ79" i="3" s="1"/>
  <c r="AL29" i="3"/>
  <c r="AQ29" i="3" s="1"/>
  <c r="AV16" i="3"/>
  <c r="R16" i="3" s="1"/>
  <c r="AL18" i="3"/>
  <c r="AJ18" i="3" s="1"/>
  <c r="H69" i="3"/>
  <c r="AK74" i="3"/>
  <c r="H15" i="3"/>
  <c r="AW16" i="3"/>
  <c r="S16" i="3" s="1"/>
  <c r="H39" i="3"/>
  <c r="H54" i="3"/>
  <c r="I69" i="3"/>
  <c r="H73" i="3"/>
  <c r="AL74" i="3"/>
  <c r="I39" i="3"/>
  <c r="AW41" i="3"/>
  <c r="Q41" i="3" s="1"/>
  <c r="I54" i="3"/>
  <c r="I73" i="3"/>
  <c r="AV79" i="3"/>
  <c r="P79" i="3" s="1"/>
  <c r="AV18" i="3"/>
  <c r="R18" i="3" s="1"/>
  <c r="H57" i="3"/>
  <c r="AK58" i="3"/>
  <c r="I78" i="3"/>
  <c r="I57" i="3"/>
  <c r="AL58" i="3"/>
  <c r="H63" i="3"/>
  <c r="AW58" i="3"/>
  <c r="Q58" i="3" s="1"/>
  <c r="AK15" i="3"/>
  <c r="AI83" i="3"/>
  <c r="J10" i="3"/>
  <c r="AL52" i="3"/>
  <c r="AK97" i="3"/>
  <c r="AQ97" i="3" s="1"/>
  <c r="AL15" i="3"/>
  <c r="AJ15" i="3" s="1"/>
  <c r="AK26" i="3"/>
  <c r="AW59" i="3"/>
  <c r="Q59" i="3" s="1"/>
  <c r="AL82" i="3"/>
  <c r="AK47" i="3"/>
  <c r="AL72" i="3"/>
  <c r="AG71" i="3"/>
  <c r="AL76" i="3"/>
  <c r="J90" i="3"/>
  <c r="AK95" i="3"/>
  <c r="H97" i="3"/>
  <c r="AK16" i="3"/>
  <c r="AJ16" i="3" s="1"/>
  <c r="AK20" i="3"/>
  <c r="AW24" i="3"/>
  <c r="Q24" i="3" s="1"/>
  <c r="H31" i="3"/>
  <c r="AL37" i="3"/>
  <c r="AL41" i="3"/>
  <c r="I47" i="3"/>
  <c r="I52" i="3"/>
  <c r="AV52" i="3"/>
  <c r="P52" i="3" s="1"/>
  <c r="I56" i="3"/>
  <c r="AV56" i="3"/>
  <c r="P56" i="3" s="1"/>
  <c r="H61" i="3"/>
  <c r="AL61" i="3"/>
  <c r="AK67" i="3"/>
  <c r="H80" i="3"/>
  <c r="AL95" i="3"/>
  <c r="I97" i="3"/>
  <c r="AH10" i="3"/>
  <c r="AK80" i="3"/>
  <c r="AK72" i="3"/>
  <c r="AK76" i="3"/>
  <c r="AL100" i="3"/>
  <c r="AL26" i="3"/>
  <c r="AK41" i="3"/>
  <c r="H47" i="3"/>
  <c r="AK61" i="3"/>
  <c r="I76" i="3"/>
  <c r="I11" i="3"/>
  <c r="I10" i="3" s="1"/>
  <c r="AG10" i="3"/>
  <c r="AV11" i="3"/>
  <c r="R11" i="3" s="1"/>
  <c r="AW13" i="3"/>
  <c r="S13" i="3" s="1"/>
  <c r="AK14" i="3"/>
  <c r="AW15" i="3"/>
  <c r="S15" i="3" s="1"/>
  <c r="H20" i="3"/>
  <c r="AL20" i="3"/>
  <c r="AK21" i="3"/>
  <c r="AW31" i="3"/>
  <c r="Q31" i="3" s="1"/>
  <c r="I37" i="3"/>
  <c r="J55" i="3"/>
  <c r="I61" i="3"/>
  <c r="AK63" i="3"/>
  <c r="AL67" i="3"/>
  <c r="I72" i="3"/>
  <c r="AL56" i="3"/>
  <c r="J83" i="3"/>
  <c r="AK11" i="3"/>
  <c r="AJ11" i="3" s="1"/>
  <c r="AG23" i="3"/>
  <c r="AK31" i="3"/>
  <c r="AJ31" i="3" s="1"/>
  <c r="H76" i="3"/>
  <c r="AK91" i="3"/>
  <c r="AL92" i="3"/>
  <c r="AL66" i="3"/>
  <c r="AW11" i="3"/>
  <c r="S11" i="3" s="1"/>
  <c r="AW12" i="3"/>
  <c r="S12" i="3" s="1"/>
  <c r="AL14" i="3"/>
  <c r="I20" i="3"/>
  <c r="AV22" i="3"/>
  <c r="R22" i="3" s="1"/>
  <c r="I26" i="3"/>
  <c r="AV26" i="3"/>
  <c r="P26" i="3" s="1"/>
  <c r="H41" i="3"/>
  <c r="AW43" i="3"/>
  <c r="Q43" i="3" s="1"/>
  <c r="AK45" i="3"/>
  <c r="AW47" i="3"/>
  <c r="Q47" i="3" s="1"/>
  <c r="AV49" i="3"/>
  <c r="P49" i="3" s="1"/>
  <c r="AH55" i="3"/>
  <c r="J71" i="3"/>
  <c r="AJ88" i="3"/>
  <c r="I92" i="3"/>
  <c r="AG90" i="3"/>
  <c r="H95" i="3"/>
  <c r="AI23" i="3"/>
  <c r="I18" i="2"/>
  <c r="F29" i="2" s="1"/>
  <c r="AH23" i="3"/>
  <c r="AL33" i="3"/>
  <c r="AQ33" i="3" s="1"/>
  <c r="I33" i="3"/>
  <c r="AL65" i="3"/>
  <c r="I65" i="3"/>
  <c r="AL80" i="3"/>
  <c r="I80" i="3"/>
  <c r="AQ87" i="3"/>
  <c r="AQ96" i="3"/>
  <c r="AJ96" i="3"/>
  <c r="Z12" i="3"/>
  <c r="AI10" i="3" s="1"/>
  <c r="AK13" i="3"/>
  <c r="AK43" i="3"/>
  <c r="AK75" i="3"/>
  <c r="AG77" i="3"/>
  <c r="AI90" i="3"/>
  <c r="AL13" i="3"/>
  <c r="AV17" i="3"/>
  <c r="R17" i="3" s="1"/>
  <c r="AW21" i="3"/>
  <c r="S21" i="3" s="1"/>
  <c r="AK22" i="3"/>
  <c r="AW35" i="3"/>
  <c r="Q35" i="3" s="1"/>
  <c r="AL43" i="3"/>
  <c r="AL49" i="3"/>
  <c r="AJ49" i="3" s="1"/>
  <c r="I49" i="3"/>
  <c r="Z56" i="3"/>
  <c r="AI55" i="3" s="1"/>
  <c r="AK59" i="3"/>
  <c r="AK66" i="3"/>
  <c r="H66" i="3"/>
  <c r="AL75" i="3"/>
  <c r="Z78" i="3"/>
  <c r="AI77" i="3" s="1"/>
  <c r="J77" i="3"/>
  <c r="AW78" i="3"/>
  <c r="Q78" i="3" s="1"/>
  <c r="AK81" i="3"/>
  <c r="H81" i="3"/>
  <c r="AG83" i="3"/>
  <c r="AL22" i="3"/>
  <c r="H33" i="3"/>
  <c r="AK35" i="3"/>
  <c r="H35" i="3"/>
  <c r="AK37" i="3"/>
  <c r="AL59" i="3"/>
  <c r="Z72" i="3"/>
  <c r="AI71" i="3" s="1"/>
  <c r="AW74" i="3"/>
  <c r="Q74" i="3" s="1"/>
  <c r="AL81" i="3"/>
  <c r="I81" i="3"/>
  <c r="AK84" i="3"/>
  <c r="H84" i="3"/>
  <c r="AK99" i="3"/>
  <c r="H99" i="3"/>
  <c r="J23" i="3"/>
  <c r="H79" i="3"/>
  <c r="AL84" i="3"/>
  <c r="I84" i="3"/>
  <c r="AL99" i="3"/>
  <c r="I99" i="3"/>
  <c r="AK65" i="3"/>
  <c r="H65" i="3"/>
  <c r="AL12" i="3"/>
  <c r="AV33" i="3"/>
  <c r="P33" i="3" s="1"/>
  <c r="AL35" i="3"/>
  <c r="H49" i="3"/>
  <c r="AK51" i="3"/>
  <c r="H51" i="3"/>
  <c r="AK52" i="3"/>
  <c r="AK56" i="3"/>
  <c r="AL63" i="3"/>
  <c r="I63" i="3"/>
  <c r="AW65" i="3"/>
  <c r="Q65" i="3" s="1"/>
  <c r="I75" i="3"/>
  <c r="AV75" i="3"/>
  <c r="P75" i="3" s="1"/>
  <c r="AK78" i="3"/>
  <c r="AW80" i="3"/>
  <c r="Q80" i="3" s="1"/>
  <c r="AK82" i="3"/>
  <c r="H82" i="3"/>
  <c r="AK86" i="3"/>
  <c r="H86" i="3"/>
  <c r="AK100" i="3"/>
  <c r="H100" i="3"/>
  <c r="AV13" i="3"/>
  <c r="R13" i="3" s="1"/>
  <c r="H17" i="3"/>
  <c r="AL17" i="3"/>
  <c r="AQ17" i="3" s="1"/>
  <c r="AL21" i="3"/>
  <c r="I31" i="3"/>
  <c r="AQ31" i="3"/>
  <c r="AW33" i="3"/>
  <c r="Q33" i="3" s="1"/>
  <c r="AV43" i="3"/>
  <c r="P43" i="3" s="1"/>
  <c r="AV59" i="3"/>
  <c r="P59" i="3" s="1"/>
  <c r="AQ88" i="3"/>
  <c r="AH90" i="3"/>
  <c r="AL91" i="3"/>
  <c r="AQ91" i="3" s="1"/>
  <c r="AK92" i="3"/>
  <c r="AK12" i="3"/>
  <c r="AW97" i="3"/>
  <c r="Q97" i="3" s="1"/>
  <c r="AW66" i="3"/>
  <c r="Q66" i="3" s="1"/>
  <c r="AV67" i="3"/>
  <c r="P67" i="3" s="1"/>
  <c r="AV72" i="3"/>
  <c r="P72" i="3" s="1"/>
  <c r="AW82" i="3"/>
  <c r="Q82" i="3" s="1"/>
  <c r="AW86" i="3"/>
  <c r="Q86" i="3" s="1"/>
  <c r="AV87" i="3"/>
  <c r="P87" i="3" s="1"/>
  <c r="AV91" i="3"/>
  <c r="AW100" i="3"/>
  <c r="Q100" i="3" s="1"/>
  <c r="AW87" i="3"/>
  <c r="Q87" i="3" s="1"/>
  <c r="AV88" i="3"/>
  <c r="P88" i="3" s="1"/>
  <c r="AW91" i="3"/>
  <c r="AV92" i="3"/>
  <c r="P92" i="3" s="1"/>
  <c r="I86" i="3"/>
  <c r="H87" i="3"/>
  <c r="AQ26" i="3" l="1"/>
  <c r="AQ63" i="3"/>
  <c r="AQ73" i="3"/>
  <c r="AQ57" i="3"/>
  <c r="AJ58" i="3"/>
  <c r="AQ69" i="3"/>
  <c r="AJ24" i="3"/>
  <c r="AJ73" i="3"/>
  <c r="AJ80" i="3"/>
  <c r="AJ67" i="3"/>
  <c r="AQ11" i="3"/>
  <c r="AQ54" i="3"/>
  <c r="AQ58" i="3"/>
  <c r="H90" i="3"/>
  <c r="I55" i="3"/>
  <c r="AJ57" i="3"/>
  <c r="AQ74" i="3"/>
  <c r="I77" i="3"/>
  <c r="H71" i="3"/>
  <c r="AJ54" i="3"/>
  <c r="AQ16" i="3"/>
  <c r="J102" i="3"/>
  <c r="AJ74" i="3"/>
  <c r="AJ29" i="3"/>
  <c r="AQ79" i="3"/>
  <c r="AQ15" i="3"/>
  <c r="AJ41" i="3"/>
  <c r="AJ97" i="3"/>
  <c r="AQ18" i="3"/>
  <c r="AQ39" i="3"/>
  <c r="AJ39" i="3"/>
  <c r="AJ33" i="3"/>
  <c r="AQ72" i="3"/>
  <c r="I71" i="3"/>
  <c r="H10" i="3"/>
  <c r="AJ69" i="3"/>
  <c r="AQ67" i="3"/>
  <c r="H23" i="3"/>
  <c r="AQ76" i="3"/>
  <c r="AJ76" i="3"/>
  <c r="I90" i="3"/>
  <c r="AJ95" i="3"/>
  <c r="AQ95" i="3"/>
  <c r="I23" i="3"/>
  <c r="AJ26" i="3"/>
  <c r="AQ41" i="3"/>
  <c r="AQ45" i="3"/>
  <c r="AJ45" i="3"/>
  <c r="AQ61" i="3"/>
  <c r="AJ61" i="3"/>
  <c r="AJ72" i="3"/>
  <c r="AJ63" i="3"/>
  <c r="J8" i="3"/>
  <c r="AQ14" i="3"/>
  <c r="AJ14" i="3"/>
  <c r="AQ20" i="3"/>
  <c r="AJ20" i="3"/>
  <c r="AQ47" i="3"/>
  <c r="AJ47" i="3"/>
  <c r="H77" i="3"/>
  <c r="H55" i="3"/>
  <c r="AJ82" i="3"/>
  <c r="AQ82" i="3"/>
  <c r="AJ35" i="3"/>
  <c r="AQ35" i="3"/>
  <c r="AJ65" i="3"/>
  <c r="AQ65" i="3"/>
  <c r="AJ22" i="3"/>
  <c r="AQ22" i="3"/>
  <c r="AJ17" i="3"/>
  <c r="AJ51" i="3"/>
  <c r="AQ51" i="3"/>
  <c r="AQ99" i="3"/>
  <c r="AJ99" i="3"/>
  <c r="AQ80" i="3"/>
  <c r="AQ59" i="3"/>
  <c r="AJ59" i="3"/>
  <c r="AQ49" i="3"/>
  <c r="AJ56" i="3"/>
  <c r="AQ56" i="3"/>
  <c r="AJ37" i="3"/>
  <c r="AQ37" i="3"/>
  <c r="AQ12" i="3"/>
  <c r="AJ12" i="3"/>
  <c r="AJ66" i="3"/>
  <c r="AQ66" i="3"/>
  <c r="AJ100" i="3"/>
  <c r="AQ100" i="3"/>
  <c r="I83" i="3"/>
  <c r="AQ75" i="3"/>
  <c r="AJ75" i="3"/>
  <c r="AJ43" i="3"/>
  <c r="AQ43" i="3"/>
  <c r="AQ84" i="3"/>
  <c r="AJ84" i="3"/>
  <c r="AJ13" i="3"/>
  <c r="AQ13" i="3"/>
  <c r="AJ52" i="3"/>
  <c r="AQ52" i="3"/>
  <c r="AJ92" i="3"/>
  <c r="AQ92" i="3"/>
  <c r="AQ78" i="3"/>
  <c r="AJ78" i="3"/>
  <c r="AJ81" i="3"/>
  <c r="AQ81" i="3"/>
  <c r="AJ86" i="3"/>
  <c r="AQ86" i="3"/>
  <c r="AJ21" i="3"/>
  <c r="AQ21" i="3"/>
  <c r="H83" i="3"/>
  <c r="AJ91" i="3"/>
  <c r="H8" i="3" l="1"/>
  <c r="I8" i="3"/>
</calcChain>
</file>

<file path=xl/sharedStrings.xml><?xml version="1.0" encoding="utf-8"?>
<sst xmlns="http://schemas.openxmlformats.org/spreadsheetml/2006/main" count="874" uniqueCount="310">
  <si>
    <t>Název stavby:</t>
  </si>
  <si>
    <t>Objednatel:</t>
  </si>
  <si>
    <t>IČO/DIČ:</t>
  </si>
  <si>
    <t/>
  </si>
  <si>
    <t>Druh stavby:</t>
  </si>
  <si>
    <t>Projektant:</t>
  </si>
  <si>
    <t xml:space="preserve"> 08130914/CZ 08130914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</si>
  <si>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</si>
  <si>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</si>
  <si>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</si>
  <si>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</si>
  <si>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</si>
  <si>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</si>
  <si>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</si>
  <si>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</si>
  <si>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</si>
  <si>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Náklady na umístění stavby (NUS)</t>
  </si>
  <si>
    <t>Práce přesčas</t>
  </si>
  <si>
    <t>Zařízení staveniště</t>
  </si>
  <si>
    <t>Montáž</t>
  </si>
  <si>
    <t>Bez pevné podl.</t>
  </si>
  <si>
    <t>Mimostav. doprava</t>
  </si>
  <si>
    <t>Kulturní památka</t>
  </si>
  <si>
    <t>Územní vlivy</t>
  </si>
  <si>
    <t>Provozní vlivy</t>
  </si>
  <si>
    <t>Ostatní</t>
  </si>
  <si>
    <t>NUS z rozpočtu</t>
  </si>
  <si>
    <t>Celkem bez DPH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</si>
  <si>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</si>
  <si>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</si>
  <si>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</si>
  <si>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</si>
  <si>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</si>
  <si>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</si>
  <si>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</si>
  <si>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</si>
  <si>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</si>
  <si>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</si>
  <si>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</si>
  <si>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</si>
  <si>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 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</si>
  <si>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</si>
  <si>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</si>
  <si>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</si>
  <si>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</si>
  <si>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</si>
  <si>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</si>
  <si>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</si>
  <si>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</si>
  <si>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</si>
  <si>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</si>
  <si>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</si>
  <si>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</si>
  <si>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</si>
  <si>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</si>
  <si>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</si>
  <si>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</si>
  <si>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</si>
  <si>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</si>
  <si>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</si>
  <si>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</si>
  <si>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</si>
  <si>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</si>
  <si>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</si>
  <si>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</si>
  <si>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</si>
  <si>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</si>
  <si>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</si>
  <si>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</si>
  <si>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728</t>
  </si>
  <si>
    <t>Vzduchotechnika - potrubí-spojovací a těsnící materiál, spojky, apod. v ceně potrubí</t>
  </si>
  <si>
    <t>1</t>
  </si>
  <si>
    <t>VL 01</t>
  </si>
  <si>
    <t>Potrubí čtyrhranné ocelové sk. I, ON 120405, tř.těsnosti III, lištové spoje Rozměr- do obvodu 1890 mm - 50% tvarovek, vč. montáž</t>
  </si>
  <si>
    <t>m</t>
  </si>
  <si>
    <t>7</t>
  </si>
  <si>
    <t>728_</t>
  </si>
  <si>
    <t>_72_</t>
  </si>
  <si>
    <t>_</t>
  </si>
  <si>
    <t>P</t>
  </si>
  <si>
    <t>2</t>
  </si>
  <si>
    <t>VL 02</t>
  </si>
  <si>
    <t>Potrubí čtyrhranné ocelové sk. I, ON 120405, tř.těsnosti III, lištové spoje Rozměr - do obvodu 2630 mm - 50% tvarovek, vč. montáže</t>
  </si>
  <si>
    <t>3</t>
  </si>
  <si>
    <t>VL 03</t>
  </si>
  <si>
    <t>Potrubí čtyrhranné ocelové sk. I, ON 120405, tř.těsnosti III, lištové spoje - Rozměr - do obvodu 3500 mm - 50% tvarovek, vč. montáže</t>
  </si>
  <si>
    <t>4</t>
  </si>
  <si>
    <t>VL 04</t>
  </si>
  <si>
    <t>Potrubí čtyrhranné ocelové sk. I, ON 120405, tř.těsnosti III, lištové spoje - Rozměr - do obvodu 4500 mm - 50% tvarovek, vč. montáže</t>
  </si>
  <si>
    <t>5</t>
  </si>
  <si>
    <t>VL 05</t>
  </si>
  <si>
    <t>Potrubí čtyrhranné ocelové sk. I, ON 120405, tř.těsnosti III, lištové spoje - Rozměr - do obvodu 5700 mm - 50% tvarovek, vč. montáže</t>
  </si>
  <si>
    <t>6</t>
  </si>
  <si>
    <t>42981222</t>
  </si>
  <si>
    <t>Spiro roura hladká d 250, včetně tvarovek</t>
  </si>
  <si>
    <t>RTS I / 2025</t>
  </si>
  <si>
    <t>M</t>
  </si>
  <si>
    <t>42981226</t>
  </si>
  <si>
    <t>Spiro roura hladká d 280, včetně tvarovek</t>
  </si>
  <si>
    <t>8</t>
  </si>
  <si>
    <t>728112113R00</t>
  </si>
  <si>
    <t>Montáž potrubí plechového kruhového do d 300 mm</t>
  </si>
  <si>
    <t>RTS komentář:</t>
  </si>
  <si>
    <t xml:space="preserve">  </t>
  </si>
  <si>
    <t>9</t>
  </si>
  <si>
    <t>VL 06</t>
  </si>
  <si>
    <t>Hlukově a tepelně izolovaná hadice D250, včetně montáže</t>
  </si>
  <si>
    <t>10</t>
  </si>
  <si>
    <t>VL 07</t>
  </si>
  <si>
    <t>Hlukově a tepelně izolovaná hadice D280, včetně montáže</t>
  </si>
  <si>
    <t>11</t>
  </si>
  <si>
    <t>VL 08</t>
  </si>
  <si>
    <t>Lamelový skružovatelný pás z kamenné vlny s al obalem s hlinik. krytem proti fyzickému poškození tlouštky izolace 50mm, včetně montáže</t>
  </si>
  <si>
    <t>m2</t>
  </si>
  <si>
    <t>31</t>
  </si>
  <si>
    <t>Vzduchotechnické zažízení a příslušenství</t>
  </si>
  <si>
    <t>12</t>
  </si>
  <si>
    <t>VL 09</t>
  </si>
  <si>
    <t>Větrací jednotka rekuperací s autonomní regulací č.H1 - Pro venkovní provedení</t>
  </si>
  <si>
    <t>soubor</t>
  </si>
  <si>
    <t>31_</t>
  </si>
  <si>
    <t>_3_</t>
  </si>
  <si>
    <t>Varianta:</t>
  </si>
  <si>
    <t>ELEKTRICKÝ PŘEDEHŘÍVAČ (VESTAVĚNY) - Qmax=21,4kW, Q=4,6kW, 400V, 32A, 3x40A
ELEKTRICKÝ OHŘÍVAČ (VESTAVĚNÝ) - Qmax=21,4kW, Q=5,6kW, 400V, 32A, 3x40A 
PŘÍMÝ CHLADIČ (VESTAVĚNÝ) - R410A, Q=33,6kW
PŘÍVOD: Q1=7131m3/hod, Est1=400Pa, P=2,7kW, Filtrace: F7
ODVOD: Q2=7506m3/hod, Est2=526Pa ,P=2,8kW, Filtrace: G4 
400V, 16,8 A, 3x20A, HMOTNOST 1362 kg
Součástí: VNITŘNÍ OVLÁDÁNÍ PRO JEDNOTKU VZT - IP40, 24 V AC / DC, max. 200mA (včetně kabeláže 20m)
UMÍSTĚNÉ NA OCELOVÉ KONSTRUKCI</t>
  </si>
  <si>
    <t>13</t>
  </si>
  <si>
    <t>VL 10</t>
  </si>
  <si>
    <t>ks</t>
  </si>
  <si>
    <t>14</t>
  </si>
  <si>
    <t>VL 11</t>
  </si>
  <si>
    <t>I1a - Odvod před ventilátorem - Obdelníkový rovný tlumič hluku, Rozměr: 1200x710 dl.2900mm v hygienickém provedení</t>
  </si>
  <si>
    <t>Šířka kulis: 200mm, Šířka mezery mezi kulisami: 100 mm
Rozměr: 1200x710 dl.2000mm, Est=34Pa, ÚTLUM 28dBa, m=130kg</t>
  </si>
  <si>
    <t>15</t>
  </si>
  <si>
    <t>I1b - Odvod před ventilátorem - Obdelníkový rovný tlumič hluku, Rozměr: 1200x710 dl.900mm v hygienickém provedení</t>
  </si>
  <si>
    <t>Šířka kulis: 200mm, Šířka mezery mezi kulisami: 100 mm
Rozměr: 1200x710 dl.900mm, Est=22Pa, ÚTLUM 4dBa, m=69kg</t>
  </si>
  <si>
    <t>16</t>
  </si>
  <si>
    <t>VL 12</t>
  </si>
  <si>
    <t>E2a - Přívod za ventilátorem - Obdelníkový rovný tlumič hluku, Rozměr: 1200x900 dl.1500mm v hygienickém provedení</t>
  </si>
  <si>
    <t>Šířka kulis: 200mm, Šířka mezery mezi kulisami: 100 mm
Rozměr: 1200x900 dl.1500mm, Est=30Pa, ÚTLUM 26dBa, m=123kg</t>
  </si>
  <si>
    <t>17</t>
  </si>
  <si>
    <t>VL 13</t>
  </si>
  <si>
    <t>E2b - Přívod za ventilátorem - Obdelníkový rovný tlumič hluku, Rozměr: 1200x900 dl.1500mm v hygienickém provedení</t>
  </si>
  <si>
    <t>Šířka kulis: 200mm, Šířka mezery mezi kulisami: 100 mm
Rozměr: 1200x900 dl.1500mm, Est=30Pa, ÚTLUM 11dBa, m=123kg</t>
  </si>
  <si>
    <t>18</t>
  </si>
  <si>
    <t>E2c - Přívod za ventilátorem - Obdelníkový rovný tlumič hluku, Rozměr: 1200x900 dl.1200mm v hygienickém provedení</t>
  </si>
  <si>
    <t>Šířka kulis: 200mm, Šířka mezery mezi kulisami: 100 mm
Rozměr: 1200x900 dl.1200mm, Est=28Pa, ÚTLUM 7dBa, m=103kg</t>
  </si>
  <si>
    <t>19</t>
  </si>
  <si>
    <t>VL 14</t>
  </si>
  <si>
    <t>E2d - Přívod za ventilátorem - Obdelníkový rohový tlumič hluku, Rozměr: 1200x900 dl.300mm(vodorovně), dl.300mm(šikmě) v hygienickém provedení</t>
  </si>
  <si>
    <t>Šířka kulis: 200mm, Šířka mezery mezi kulisami: 100 mm
Rozměr: 1200x1900mm dl.300mm(vodorovně), dl.300mm(šikmě), 
Est=23Pa, ÚTLUM 13dBa, m=147kg</t>
  </si>
  <si>
    <t>20</t>
  </si>
  <si>
    <t>VL 15</t>
  </si>
  <si>
    <t>E1a - Přívod před ventilátorem - Obdelníkový rovný tlumič hluku, Rozměr: 1000x710 dl.2100mm v hygienickém provedení</t>
  </si>
  <si>
    <t>Šířka kulis: 200mm, Šířka mezery mezi kulisami: 133 mm
Rozměr: 1000x710 dl.2100mm, Est=43Pa, ÚTLUM 22dBa, m=114kg</t>
  </si>
  <si>
    <t>21</t>
  </si>
  <si>
    <t>VL 16</t>
  </si>
  <si>
    <t>I1a - Odvod před ventilátorem - Obdelníkový rovný tlumič hluku, Rozměr: 1400x900 dl.1500mm v hygienickém provedení</t>
  </si>
  <si>
    <t>Šířka kulis: 200mm, Šířka mezery mezi kulisami: 80 mm
Rozměr: 1400x900 dl.1500mm, Est=23Pa, ÚTLUM 27dBa, m=141kg</t>
  </si>
  <si>
    <t>22</t>
  </si>
  <si>
    <t>VL 17</t>
  </si>
  <si>
    <t>I1b - Odvod před ventilátorem - Obdelníkový rovný tlumič hluku, Rozměr: 1400x900 dl.1500mm v hygienickém provedení</t>
  </si>
  <si>
    <t>Šířka kulis: 200mm, Šířka mezery mezi kulisami: 80 mm
Rozměr: 1400x900 dl.1500mm, Est=23Pa, ÚTLUM 7dBa, m=141kg</t>
  </si>
  <si>
    <t>23</t>
  </si>
  <si>
    <t>I1c - Odvod před ventilátorem - Obdelníkový rovný tlumič hluku, Rozměr: 1400x900 dl.1500mm v hygienickém provedení</t>
  </si>
  <si>
    <t>Šířka kulis: 200mm, Šířka mezery mezi kulisami: 80 mm
Rozměr: 1400x900 dl.1500mm, Est=23Pa, ÚTLUM 6dBa, m=141kg</t>
  </si>
  <si>
    <t>24</t>
  </si>
  <si>
    <t>VL 18</t>
  </si>
  <si>
    <t>I1d - Odvod před ventilátorem - Obdelníkový rohový tlumič hluku, Rozměr: 1400x900 dl.300mm(vodorovně), dl.300mm(šikmě) v hygienickém provedení</t>
  </si>
  <si>
    <t>Šířka kulis: 200mm, Šířka mezery mezi kulisami: 80 mm
Rozměr: 1400x900mm dl.300mm(vodorovně), dl.300mm(šikmě), 
Est=30Pa, ÚTLUM 16dBa, m=155kg</t>
  </si>
  <si>
    <t>25</t>
  </si>
  <si>
    <t>728312115R00</t>
  </si>
  <si>
    <t>Montáž tlumiče hluku čtyřhranného nad 0,6 m2</t>
  </si>
  <si>
    <t>kus</t>
  </si>
  <si>
    <t>26</t>
  </si>
  <si>
    <t>VL 19</t>
  </si>
  <si>
    <t>Zprovoznění, regulace a montáž systému větrání</t>
  </si>
  <si>
    <t>27</t>
  </si>
  <si>
    <t>VL 20</t>
  </si>
  <si>
    <t>Montážní, spojovací a těsnící materiál, spojky, apod.</t>
  </si>
  <si>
    <t>0</t>
  </si>
  <si>
    <t>Distribuční elementy</t>
  </si>
  <si>
    <t>28</t>
  </si>
  <si>
    <t>VL21</t>
  </si>
  <si>
    <t>Dvouřadá vyústka včetně regulace 825x425mm</t>
  </si>
  <si>
    <t>0_</t>
  </si>
  <si>
    <t>_0_</t>
  </si>
  <si>
    <t>29</t>
  </si>
  <si>
    <t>728411314R00</t>
  </si>
  <si>
    <t>Montáž mřížky čtyřhranné do 0,2 m2</t>
  </si>
  <si>
    <t>30</t>
  </si>
  <si>
    <t>VL 22</t>
  </si>
  <si>
    <t>č.H1-D1 Kuchyňská nerezová digestoř -  Q=880m3//hod, Tz=20Pa, rozměr: 1100x1200x435mm, m=46kg, s.h.2,05m</t>
  </si>
  <si>
    <t>VL 23</t>
  </si>
  <si>
    <t>č.H1-D2 Kuchyňská nerezová digestoř - Q=2621m3//hod, Tz=91Pa, rozměr: 3050x1600x435mm, m=195kg</t>
  </si>
  <si>
    <t>Tukový filtr (lamelový odlučovač 400x400)- 4ks, s.h.=2,05m
Zářivka- 2xLED 44W, 230V, p=88W</t>
  </si>
  <si>
    <t>32</t>
  </si>
  <si>
    <t>VL 24</t>
  </si>
  <si>
    <t>č.H1-D3 Kuchyňská nerezová digestoř - Q=2466m3//hod, Tz=82Pa, rozměr: 3200x1250x435mm, m=160kg</t>
  </si>
  <si>
    <t>33</t>
  </si>
  <si>
    <t>VL 25</t>
  </si>
  <si>
    <t>č.H1-D4 Kuchyňská nerezová digestoř - Q=1539m3//hod, Tz=73Pa, rozměr: 2100x1550x435mm, m=130kg</t>
  </si>
  <si>
    <t>Tukový filtr (lamelový odlučovač 400x400)- 3ks, s.h.=2,05m
Zářivka- 1xLED 55W, 230V, p=55W</t>
  </si>
  <si>
    <t>34</t>
  </si>
  <si>
    <t>728414713R00</t>
  </si>
  <si>
    <t>Montáž zákrytu odsávacího do 2,0 m2</t>
  </si>
  <si>
    <t>35</t>
  </si>
  <si>
    <t>728414719R00</t>
  </si>
  <si>
    <t>Montáž zákrytu odsávacího do 5,0 m2</t>
  </si>
  <si>
    <t>36</t>
  </si>
  <si>
    <t>VL 26</t>
  </si>
  <si>
    <t>Sít s oky 25x25mm, rozměr: 1000x710mm</t>
  </si>
  <si>
    <t>včetně montáže</t>
  </si>
  <si>
    <t>37</t>
  </si>
  <si>
    <t>VL 27</t>
  </si>
  <si>
    <t>Sít s oky 25x25mm, rozměr: 1400x900mm</t>
  </si>
  <si>
    <t>Vzduchotechnika - regulační klapky</t>
  </si>
  <si>
    <t>38</t>
  </si>
  <si>
    <t>42971080</t>
  </si>
  <si>
    <t>Klapka regulační kruhová D250, na SPIRO, ovl. ruční</t>
  </si>
  <si>
    <t>16_</t>
  </si>
  <si>
    <t>_1_</t>
  </si>
  <si>
    <t>39</t>
  </si>
  <si>
    <t>42971081</t>
  </si>
  <si>
    <t>Klapka regulační kruhová D280, na SPIRO, ovl. ruční</t>
  </si>
  <si>
    <t>40</t>
  </si>
  <si>
    <t>VL 44</t>
  </si>
  <si>
    <t>Klapka regulační čtyřhranná 800x400, ovl.ruční</t>
  </si>
  <si>
    <t>41</t>
  </si>
  <si>
    <t>728212413R00</t>
  </si>
  <si>
    <t>Montáž klapky plechové kruhové do d 300 mm</t>
  </si>
  <si>
    <t>42</t>
  </si>
  <si>
    <t>728213417R00</t>
  </si>
  <si>
    <t>Montáž klapky čtyřhranné do 0,4 m2</t>
  </si>
  <si>
    <t>Chlazení objektu - potrubní část, mřížky</t>
  </si>
  <si>
    <t>43</t>
  </si>
  <si>
    <t>VL 28</t>
  </si>
  <si>
    <t>Izolační páska samolepící, š=50mm, síla izolace 3mm</t>
  </si>
  <si>
    <t>37_</t>
  </si>
  <si>
    <t>44</t>
  </si>
  <si>
    <t>VL 29</t>
  </si>
  <si>
    <t>Komunikační kabeláž pro vnitřní jednotky s venkovní, včetně montáže</t>
  </si>
  <si>
    <t>bm</t>
  </si>
  <si>
    <t>45</t>
  </si>
  <si>
    <t>VL 30</t>
  </si>
  <si>
    <t>Plnění chladiva R410A do systémů</t>
  </si>
  <si>
    <t>kg</t>
  </si>
  <si>
    <t>46</t>
  </si>
  <si>
    <t>VL 31</t>
  </si>
  <si>
    <t>Předizolované cu potrubí 12,7mm, síla izolace 9mm, včetně montáže</t>
  </si>
  <si>
    <t>47</t>
  </si>
  <si>
    <t>VL 32</t>
  </si>
  <si>
    <t>Předizolované cu potrubí 25,4mm, síla izolace 9mm, včetně montáže</t>
  </si>
  <si>
    <t>62</t>
  </si>
  <si>
    <t>Chlazení objektu - strojní zařízení</t>
  </si>
  <si>
    <t>48</t>
  </si>
  <si>
    <t>VL 33</t>
  </si>
  <si>
    <t>Venkovní kondenzační jednotka, Qch/Qt=40,0/40,0kW, R410A, m=187,0kg</t>
  </si>
  <si>
    <t>62_</t>
  </si>
  <si>
    <t>_6_</t>
  </si>
  <si>
    <t>400V/3Ph/50HZ, Pch/t=15,7/11,7kW, m(chl)=7,4kg  
včetně ovládacího modulu 0-10V, pro přímý výparník
UMÍSTĚNÉ NA OCELOVÉ KONSTRUKCI</t>
  </si>
  <si>
    <t>49</t>
  </si>
  <si>
    <t>VL 34</t>
  </si>
  <si>
    <t>Montáž venkovních jednotek</t>
  </si>
  <si>
    <t>50</t>
  </si>
  <si>
    <t>VL 35</t>
  </si>
  <si>
    <t>Gumový podstavec, antivibrační montblok (guma), černá</t>
  </si>
  <si>
    <t>51</t>
  </si>
  <si>
    <t>VL 36</t>
  </si>
  <si>
    <t>Univerzální zvýšený rám pod venkovní jednotky chlazení</t>
  </si>
  <si>
    <t>52</t>
  </si>
  <si>
    <t>998011002R00</t>
  </si>
  <si>
    <t>Přesun hmot pro VZT + CHLD výšky do 12 m</t>
  </si>
  <si>
    <t>t</t>
  </si>
  <si>
    <t>27_</t>
  </si>
  <si>
    <t>_2_</t>
  </si>
  <si>
    <t>53</t>
  </si>
  <si>
    <t>900      R04</t>
  </si>
  <si>
    <t>HZS</t>
  </si>
  <si>
    <t>h</t>
  </si>
  <si>
    <t>stavební dělník v tarifní třídě 7</t>
  </si>
  <si>
    <t>54</t>
  </si>
  <si>
    <t>VL 37</t>
  </si>
  <si>
    <t>55</t>
  </si>
  <si>
    <t>VL 38</t>
  </si>
  <si>
    <t>Zaškolení osob provozovatele</t>
  </si>
  <si>
    <t>kpl</t>
  </si>
  <si>
    <t>56</t>
  </si>
  <si>
    <t>VL 39</t>
  </si>
  <si>
    <t>Zprovoznění systému včetně regulace</t>
  </si>
  <si>
    <t>58</t>
  </si>
  <si>
    <t>VL 41</t>
  </si>
  <si>
    <t>59</t>
  </si>
  <si>
    <t>VL 42</t>
  </si>
  <si>
    <t>Dokumentace skutečného provedení</t>
  </si>
  <si>
    <t>Podstavec 895x410x410mm, posuvný, antivibrační, kov, bílá</t>
  </si>
  <si>
    <t>Položkový soupis prací a dodávek</t>
  </si>
  <si>
    <t>Stavba:</t>
  </si>
  <si>
    <t>MŠ ZDISLAVA, Brno, Pellicova 4 – rekonstrukce školní jídelny</t>
  </si>
  <si>
    <t>Rozpočet:</t>
  </si>
  <si>
    <t>4 / Vzduchotechnika</t>
  </si>
  <si>
    <t>POZNÁMKY:</t>
  </si>
  <si>
    <t>V případě, že jsou užity v zadávací dokumentaci (projektová dokumentace, výkaz výměr, …) obchodní názvy, zadavatel připouští kvalitativně, parametrově a technicky shodné nebo vyšší řešení od jiného výrobce.</t>
  </si>
  <si>
    <t xml:space="preserve">Dokladová část </t>
  </si>
  <si>
    <t>Montáž  jednotky v určeném prostoru nad 3000m3/hod</t>
  </si>
  <si>
    <t>vč. započítání kompletního smontování jednotky ve sklepě, z důvodu manipulace</t>
  </si>
  <si>
    <t>Doprava jednotky viz oddíl "Ostatní"</t>
  </si>
  <si>
    <t xml:space="preserve">Další stavební práce pro VZT uvedeny ve VV_1_Stavební část </t>
  </si>
  <si>
    <t>Zprovoznění celého systému včetně regulace viz oddíl "Ostatní"</t>
  </si>
  <si>
    <t>VL 40</t>
  </si>
  <si>
    <t>Doprava ostatních materiálů a výrobků na stavbu</t>
  </si>
  <si>
    <t xml:space="preserve">Doprava, naložení a složení venkovních jednotek autojeřábem nebo nákladním vozidlem s hydraulickou rukou.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</si>
</sst>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sz val="11"/>
      <name val="Calibri"/>
      <family val="2"/>
      <charset val="238"/>
    </font>
    <font>
      <b/>
      <u/>
      <sz val="9"/>
      <name val="Arial CE"/>
      <charset val="238"/>
    </font>
    <font>
      <sz val="9"/>
      <name val="Arial CE"/>
      <family val="2"/>
      <charset val="238"/>
    </font>
    <font>
      <i/>
      <sz val="10"/>
      <color theme="2" tint="-0.499984740745262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C0C0C0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0" borderId="18" xfId="0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4" fontId="2" fillId="0" borderId="22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  <xf numFmtId="4" fontId="3" fillId="0" borderId="26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0" fontId="3" fillId="2" borderId="30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3" fillId="0" borderId="31" xfId="0" applyNumberFormat="1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0" fillId="0" borderId="32" xfId="0" applyBorder="1" applyAlignment="1">
      <alignment vertical="center"/>
    </xf>
    <xf numFmtId="49" fontId="7" fillId="0" borderId="33" xfId="0" applyNumberFormat="1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2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0" fillId="4" borderId="35" xfId="0" applyFill="1" applyBorder="1" applyAlignment="1">
      <alignment vertical="center"/>
    </xf>
    <xf numFmtId="49" fontId="7" fillId="4" borderId="36" xfId="0" applyNumberFormat="1" applyFont="1" applyFill="1" applyBorder="1" applyAlignment="1">
      <alignment vertical="center"/>
    </xf>
    <xf numFmtId="0" fontId="7" fillId="4" borderId="36" xfId="0" applyFont="1" applyFill="1" applyBorder="1" applyAlignment="1">
      <alignment vertical="center"/>
    </xf>
    <xf numFmtId="0" fontId="2" fillId="4" borderId="36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left" vertical="center"/>
    </xf>
    <xf numFmtId="4" fontId="3" fillId="2" borderId="31" xfId="0" applyNumberFormat="1" applyFont="1" applyFill="1" applyBorder="1" applyAlignment="1">
      <alignment horizontal="right" vertical="center"/>
    </xf>
    <xf numFmtId="0" fontId="6" fillId="3" borderId="31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left" vertical="center"/>
    </xf>
    <xf numFmtId="4" fontId="3" fillId="5" borderId="31" xfId="0" applyNumberFormat="1" applyFont="1" applyFill="1" applyBorder="1" applyAlignment="1">
      <alignment horizontal="right" vertical="center"/>
    </xf>
    <xf numFmtId="4" fontId="3" fillId="3" borderId="31" xfId="0" applyNumberFormat="1" applyFont="1" applyFill="1" applyBorder="1" applyAlignment="1">
      <alignment horizontal="right" vertical="center"/>
    </xf>
    <xf numFmtId="0" fontId="0" fillId="3" borderId="0" xfId="0" applyFill="1"/>
    <xf numFmtId="0" fontId="3" fillId="3" borderId="31" xfId="0" applyFont="1" applyFill="1" applyBorder="1" applyAlignment="1">
      <alignment horizontal="center" vertical="center"/>
    </xf>
    <xf numFmtId="4" fontId="2" fillId="3" borderId="31" xfId="0" applyNumberFormat="1" applyFont="1" applyFill="1" applyBorder="1" applyAlignment="1">
      <alignment horizontal="right" vertical="center"/>
    </xf>
    <xf numFmtId="0" fontId="0" fillId="3" borderId="31" xfId="0" applyFill="1" applyBorder="1"/>
    <xf numFmtId="0" fontId="2" fillId="0" borderId="31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/>
    </xf>
    <xf numFmtId="0" fontId="3" fillId="5" borderId="31" xfId="0" applyFont="1" applyFill="1" applyBorder="1" applyAlignment="1">
      <alignment horizontal="left" vertical="center"/>
    </xf>
    <xf numFmtId="0" fontId="3" fillId="5" borderId="31" xfId="0" applyFont="1" applyFill="1" applyBorder="1" applyAlignment="1">
      <alignment horizontal="left" vertical="center" wrapText="1"/>
    </xf>
    <xf numFmtId="0" fontId="2" fillId="5" borderId="31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3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2" fillId="2" borderId="49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left" vertical="center"/>
    </xf>
    <xf numFmtId="4" fontId="3" fillId="2" borderId="41" xfId="0" applyNumberFormat="1" applyFont="1" applyFill="1" applyBorder="1" applyAlignment="1">
      <alignment horizontal="right" vertical="center"/>
    </xf>
    <xf numFmtId="4" fontId="3" fillId="2" borderId="50" xfId="0" applyNumberFormat="1" applyFont="1" applyFill="1" applyBorder="1" applyAlignment="1">
      <alignment horizontal="right" vertical="center"/>
    </xf>
    <xf numFmtId="0" fontId="2" fillId="0" borderId="51" xfId="0" applyFont="1" applyBorder="1" applyAlignment="1">
      <alignment horizontal="left" vertical="center"/>
    </xf>
    <xf numFmtId="4" fontId="2" fillId="0" borderId="31" xfId="0" applyNumberFormat="1" applyFont="1" applyBorder="1" applyAlignment="1">
      <alignment horizontal="right" vertical="center"/>
    </xf>
    <xf numFmtId="0" fontId="0" fillId="0" borderId="51" xfId="0" applyBorder="1"/>
    <xf numFmtId="0" fontId="5" fillId="0" borderId="31" xfId="0" applyFont="1" applyBorder="1" applyAlignment="1">
      <alignment horizontal="right" vertical="center"/>
    </xf>
    <xf numFmtId="0" fontId="2" fillId="2" borderId="51" xfId="0" applyFont="1" applyFill="1" applyBorder="1" applyAlignment="1">
      <alignment horizontal="left" vertical="center"/>
    </xf>
    <xf numFmtId="4" fontId="3" fillId="2" borderId="52" xfId="0" applyNumberFormat="1" applyFont="1" applyFill="1" applyBorder="1" applyAlignment="1">
      <alignment horizontal="right" vertical="center"/>
    </xf>
    <xf numFmtId="0" fontId="2" fillId="0" borderId="53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 wrapText="1"/>
    </xf>
    <xf numFmtId="4" fontId="2" fillId="0" borderId="36" xfId="0" applyNumberFormat="1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49" fontId="8" fillId="4" borderId="54" xfId="0" applyNumberFormat="1" applyFont="1" applyFill="1" applyBorder="1" applyAlignment="1">
      <alignment vertical="center"/>
    </xf>
    <xf numFmtId="0" fontId="0" fillId="4" borderId="55" xfId="0" applyFill="1" applyBorder="1"/>
    <xf numFmtId="0" fontId="0" fillId="4" borderId="54" xfId="0" applyFill="1" applyBorder="1"/>
    <xf numFmtId="4" fontId="3" fillId="4" borderId="56" xfId="0" applyNumberFormat="1" applyFont="1" applyFill="1" applyBorder="1" applyAlignment="1">
      <alignment horizontal="right" vertical="center"/>
    </xf>
    <xf numFmtId="4" fontId="3" fillId="0" borderId="52" xfId="0" applyNumberFormat="1" applyFont="1" applyBorder="1" applyAlignment="1">
      <alignment horizontal="right" vertical="center"/>
    </xf>
    <xf numFmtId="0" fontId="9" fillId="0" borderId="52" xfId="0" applyFont="1" applyBorder="1" applyAlignment="1">
      <alignment horizontal="left" vertical="center" wrapText="1"/>
    </xf>
    <xf numFmtId="4" fontId="3" fillId="0" borderId="37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2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4" fontId="4" fillId="0" borderId="27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49" fontId="12" fillId="0" borderId="31" xfId="0" applyNumberFormat="1" applyFont="1" applyBorder="1" applyAlignment="1">
      <alignment horizontal="left" vertical="justify" wrapText="1"/>
    </xf>
    <xf numFmtId="0" fontId="6" fillId="0" borderId="36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4" borderId="54" xfId="0" applyFont="1" applyFill="1" applyBorder="1" applyAlignment="1">
      <alignment horizontal="left" vertical="center"/>
    </xf>
    <xf numFmtId="0" fontId="14" fillId="0" borderId="31" xfId="0" applyFont="1" applyBorder="1" applyAlignment="1">
      <alignment horizontal="left" vertical="center" wrapText="1"/>
    </xf>
    <xf numFmtId="4" fontId="2" fillId="0" borderId="31" xfId="0" applyNumberFormat="1" applyFont="1" applyBorder="1" applyAlignment="1" applyProtection="1">
      <alignment horizontal="right" vertical="center"/>
      <protection locked="0"/>
    </xf>
    <xf numFmtId="0" fontId="5" fillId="0" borderId="31" xfId="0" applyFont="1" applyBorder="1" applyAlignment="1" applyProtection="1">
      <alignment horizontal="left" vertical="center" wrapText="1"/>
      <protection locked="0"/>
    </xf>
    <xf numFmtId="0" fontId="2" fillId="2" borderId="31" xfId="0" applyFont="1" applyFill="1" applyBorder="1" applyAlignment="1" applyProtection="1">
      <alignment horizontal="left" vertical="center"/>
      <protection locked="0"/>
    </xf>
    <xf numFmtId="4" fontId="2" fillId="0" borderId="36" xfId="0" applyNumberFormat="1" applyFont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106</xdr:row>
      <xdr:rowOff>161925</xdr:rowOff>
    </xdr:from>
    <xdr:to>
      <xdr:col>4</xdr:col>
      <xdr:colOff>132596</xdr:colOff>
      <xdr:row>121</xdr:row>
      <xdr:rowOff>18711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27813000"/>
          <a:ext cx="6028571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5" t="s">
        <v>28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0</v>
      </c>
      <c r="B2" s="98"/>
      <c r="C2" s="108" t="e">
        <f>'4_VV_Vzduchotechnika'!#REF!</f>
        <v>#REF!</v>
      </c>
      <c r="D2" s="109"/>
      <c r="E2" s="102" t="s">
        <v>1</v>
      </c>
      <c r="F2" s="102" t="e">
        <f>'4_VV_Vzduchotechnika'!#REF!</f>
        <v>#REF!</v>
      </c>
      <c r="G2" s="98"/>
      <c r="H2" s="102" t="s">
        <v>2</v>
      </c>
      <c r="I2" s="104" t="s">
        <v>3</v>
      </c>
    </row>
    <row r="3" spans="1:9" ht="15" customHeight="1" x14ac:dyDescent="0.25">
      <c r="A3" s="99"/>
      <c r="B3" s="100"/>
      <c r="C3" s="110"/>
      <c r="D3" s="110"/>
      <c r="E3" s="100"/>
      <c r="F3" s="100"/>
      <c r="G3" s="100"/>
      <c r="H3" s="100"/>
      <c r="I3" s="105"/>
    </row>
    <row r="4" spans="1:9" x14ac:dyDescent="0.25">
      <c r="A4" s="101" t="s">
        <v>4</v>
      </c>
      <c r="B4" s="100"/>
      <c r="C4" s="103" t="e">
        <f>'4_VV_Vzduchotechnika'!#REF!</f>
        <v>#REF!</v>
      </c>
      <c r="D4" s="100"/>
      <c r="E4" s="103" t="s">
        <v>5</v>
      </c>
      <c r="F4" s="103" t="e">
        <f>'4_VV_Vzduchotechnika'!#REF!</f>
        <v>#REF!</v>
      </c>
      <c r="G4" s="100"/>
      <c r="H4" s="103" t="s">
        <v>2</v>
      </c>
      <c r="I4" s="105" t="s">
        <v>6</v>
      </c>
    </row>
    <row r="5" spans="1:9" ht="15" customHeight="1" x14ac:dyDescent="0.25">
      <c r="A5" s="99"/>
      <c r="B5" s="100"/>
      <c r="C5" s="100"/>
      <c r="D5" s="100"/>
      <c r="E5" s="100"/>
      <c r="F5" s="100"/>
      <c r="G5" s="100"/>
      <c r="H5" s="100"/>
      <c r="I5" s="105"/>
    </row>
    <row r="6" spans="1:9" x14ac:dyDescent="0.25">
      <c r="A6" s="101" t="s">
        <v>7</v>
      </c>
      <c r="B6" s="100"/>
      <c r="C6" s="103" t="e">
        <f>'4_VV_Vzduchotechnika'!#REF!</f>
        <v>#REF!</v>
      </c>
      <c r="D6" s="100"/>
      <c r="E6" s="103" t="s">
        <v>8</v>
      </c>
      <c r="F6" s="103" t="e">
        <f>'4_VV_Vzduchotechnika'!#REF!</f>
        <v>#REF!</v>
      </c>
      <c r="G6" s="100"/>
      <c r="H6" s="103" t="s">
        <v>2</v>
      </c>
      <c r="I6" s="105" t="s">
        <v>9</v>
      </c>
    </row>
    <row r="7" spans="1:9" ht="15" customHeight="1" x14ac:dyDescent="0.25">
      <c r="A7" s="99"/>
      <c r="B7" s="100"/>
      <c r="C7" s="100"/>
      <c r="D7" s="100"/>
      <c r="E7" s="100"/>
      <c r="F7" s="100"/>
      <c r="G7" s="100"/>
      <c r="H7" s="100"/>
      <c r="I7" s="105"/>
    </row>
    <row r="8" spans="1:9" x14ac:dyDescent="0.25">
      <c r="A8" s="101" t="s">
        <v>10</v>
      </c>
      <c r="B8" s="100"/>
      <c r="C8" s="103" t="e">
        <f>'4_VV_Vzduchotechnika'!#REF!</f>
        <v>#REF!</v>
      </c>
      <c r="D8" s="100"/>
      <c r="E8" s="103" t="s">
        <v>11</v>
      </c>
      <c r="F8" s="103" t="e">
        <f>'4_VV_Vzduchotechnika'!#REF!</f>
        <v>#REF!</v>
      </c>
      <c r="G8" s="100"/>
      <c r="H8" s="100" t="s">
        <v>12</v>
      </c>
      <c r="I8" s="106">
        <v>60</v>
      </c>
    </row>
    <row r="9" spans="1:9" x14ac:dyDescent="0.25">
      <c r="A9" s="99"/>
      <c r="B9" s="100"/>
      <c r="C9" s="100"/>
      <c r="D9" s="100"/>
      <c r="E9" s="100"/>
      <c r="F9" s="100"/>
      <c r="G9" s="100"/>
      <c r="H9" s="100"/>
      <c r="I9" s="105"/>
    </row>
    <row r="10" spans="1:9" x14ac:dyDescent="0.25">
      <c r="A10" s="101" t="s">
        <v>13</v>
      </c>
      <c r="B10" s="100"/>
      <c r="C10" s="103" t="e">
        <f>'4_VV_Vzduchotechnika'!#REF!</f>
        <v>#REF!</v>
      </c>
      <c r="D10" s="100"/>
      <c r="E10" s="103" t="s">
        <v>14</v>
      </c>
      <c r="F10" s="103" t="e">
        <f>'4_VV_Vzduchotechnika'!#REF!</f>
        <v>#REF!</v>
      </c>
      <c r="G10" s="100"/>
      <c r="H10" s="100" t="s">
        <v>15</v>
      </c>
      <c r="I10" s="111" t="e">
        <f>'4_VV_Vzduchotechnika'!#REF!</f>
        <v>#REF!</v>
      </c>
    </row>
    <row r="11" spans="1:9" x14ac:dyDescent="0.25">
      <c r="A11" s="120"/>
      <c r="B11" s="107"/>
      <c r="C11" s="107"/>
      <c r="D11" s="107"/>
      <c r="E11" s="107"/>
      <c r="F11" s="107"/>
      <c r="G11" s="107"/>
      <c r="H11" s="107"/>
      <c r="I11" s="112"/>
    </row>
    <row r="13" spans="1:9" ht="15.75" x14ac:dyDescent="0.25">
      <c r="A13" s="113" t="s">
        <v>29</v>
      </c>
      <c r="B13" s="113"/>
      <c r="C13" s="113"/>
      <c r="D13" s="113"/>
      <c r="E13" s="113"/>
    </row>
    <row r="14" spans="1:9" x14ac:dyDescent="0.25">
      <c r="A14" s="114" t="s">
        <v>30</v>
      </c>
      <c r="B14" s="115"/>
      <c r="C14" s="115"/>
      <c r="D14" s="115"/>
      <c r="E14" s="116"/>
      <c r="F14" s="1" t="s">
        <v>31</v>
      </c>
      <c r="G14" s="1" t="s">
        <v>32</v>
      </c>
      <c r="H14" s="1" t="s">
        <v>33</v>
      </c>
      <c r="I14" s="1" t="s">
        <v>31</v>
      </c>
    </row>
    <row r="15" spans="1:9" x14ac:dyDescent="0.25">
      <c r="A15" s="117" t="s">
        <v>17</v>
      </c>
      <c r="B15" s="118"/>
      <c r="C15" s="118"/>
      <c r="D15" s="118"/>
      <c r="E15" s="119"/>
      <c r="F15" s="2">
        <v>0</v>
      </c>
      <c r="G15" s="3" t="s">
        <v>3</v>
      </c>
      <c r="H15" s="3" t="s">
        <v>3</v>
      </c>
      <c r="I15" s="2">
        <f>F15</f>
        <v>0</v>
      </c>
    </row>
    <row r="16" spans="1:9" x14ac:dyDescent="0.25">
      <c r="A16" s="117" t="s">
        <v>20</v>
      </c>
      <c r="B16" s="118"/>
      <c r="C16" s="118"/>
      <c r="D16" s="118"/>
      <c r="E16" s="119"/>
      <c r="F16" s="2">
        <v>0</v>
      </c>
      <c r="G16" s="3" t="s">
        <v>3</v>
      </c>
      <c r="H16" s="3" t="s">
        <v>3</v>
      </c>
      <c r="I16" s="2">
        <f>F16</f>
        <v>0</v>
      </c>
    </row>
    <row r="17" spans="1:9" x14ac:dyDescent="0.25">
      <c r="A17" s="121" t="s">
        <v>22</v>
      </c>
      <c r="B17" s="122"/>
      <c r="C17" s="122"/>
      <c r="D17" s="122"/>
      <c r="E17" s="123"/>
      <c r="F17" s="4">
        <v>0</v>
      </c>
      <c r="G17" s="5" t="s">
        <v>3</v>
      </c>
      <c r="H17" s="5" t="s">
        <v>3</v>
      </c>
      <c r="I17" s="4">
        <f>F17</f>
        <v>0</v>
      </c>
    </row>
    <row r="18" spans="1:9" x14ac:dyDescent="0.25">
      <c r="A18" s="124" t="s">
        <v>34</v>
      </c>
      <c r="B18" s="125"/>
      <c r="C18" s="125"/>
      <c r="D18" s="125"/>
      <c r="E18" s="126"/>
      <c r="F18" s="6" t="s">
        <v>3</v>
      </c>
      <c r="G18" s="7" t="s">
        <v>3</v>
      </c>
      <c r="H18" s="7" t="s">
        <v>3</v>
      </c>
      <c r="I18" s="8">
        <f>SUM(I15:I17)</f>
        <v>0</v>
      </c>
    </row>
    <row r="20" spans="1:9" x14ac:dyDescent="0.25">
      <c r="A20" s="114" t="s">
        <v>16</v>
      </c>
      <c r="B20" s="115"/>
      <c r="C20" s="115"/>
      <c r="D20" s="115"/>
      <c r="E20" s="116"/>
      <c r="F20" s="1" t="s">
        <v>31</v>
      </c>
      <c r="G20" s="1" t="s">
        <v>32</v>
      </c>
      <c r="H20" s="1" t="s">
        <v>33</v>
      </c>
      <c r="I20" s="1" t="s">
        <v>31</v>
      </c>
    </row>
    <row r="21" spans="1:9" x14ac:dyDescent="0.25">
      <c r="A21" s="117" t="s">
        <v>18</v>
      </c>
      <c r="B21" s="118"/>
      <c r="C21" s="118"/>
      <c r="D21" s="118"/>
      <c r="E21" s="119"/>
      <c r="F21" s="2">
        <v>0</v>
      </c>
      <c r="G21" s="3" t="s">
        <v>3</v>
      </c>
      <c r="H21" s="3" t="s">
        <v>3</v>
      </c>
      <c r="I21" s="2">
        <f t="shared" ref="I21:I26" si="0">F21</f>
        <v>0</v>
      </c>
    </row>
    <row r="22" spans="1:9" x14ac:dyDescent="0.25">
      <c r="A22" s="117" t="s">
        <v>21</v>
      </c>
      <c r="B22" s="118"/>
      <c r="C22" s="118"/>
      <c r="D22" s="118"/>
      <c r="E22" s="119"/>
      <c r="F22" s="2">
        <v>0</v>
      </c>
      <c r="G22" s="3" t="s">
        <v>3</v>
      </c>
      <c r="H22" s="3" t="s">
        <v>3</v>
      </c>
      <c r="I22" s="2">
        <f t="shared" si="0"/>
        <v>0</v>
      </c>
    </row>
    <row r="23" spans="1:9" x14ac:dyDescent="0.25">
      <c r="A23" s="117" t="s">
        <v>23</v>
      </c>
      <c r="B23" s="118"/>
      <c r="C23" s="118"/>
      <c r="D23" s="118"/>
      <c r="E23" s="119"/>
      <c r="F23" s="2">
        <v>0</v>
      </c>
      <c r="G23" s="3" t="s">
        <v>3</v>
      </c>
      <c r="H23" s="3" t="s">
        <v>3</v>
      </c>
      <c r="I23" s="2">
        <f t="shared" si="0"/>
        <v>0</v>
      </c>
    </row>
    <row r="24" spans="1:9" x14ac:dyDescent="0.25">
      <c r="A24" s="117" t="s">
        <v>24</v>
      </c>
      <c r="B24" s="118"/>
      <c r="C24" s="118"/>
      <c r="D24" s="118"/>
      <c r="E24" s="119"/>
      <c r="F24" s="2">
        <v>0</v>
      </c>
      <c r="G24" s="3" t="s">
        <v>3</v>
      </c>
      <c r="H24" s="3" t="s">
        <v>3</v>
      </c>
      <c r="I24" s="2">
        <f t="shared" si="0"/>
        <v>0</v>
      </c>
    </row>
    <row r="25" spans="1:9" x14ac:dyDescent="0.25">
      <c r="A25" s="117" t="s">
        <v>25</v>
      </c>
      <c r="B25" s="118"/>
      <c r="C25" s="118"/>
      <c r="D25" s="118"/>
      <c r="E25" s="119"/>
      <c r="F25" s="2">
        <v>0</v>
      </c>
      <c r="G25" s="3" t="s">
        <v>3</v>
      </c>
      <c r="H25" s="3" t="s">
        <v>3</v>
      </c>
      <c r="I25" s="2">
        <f t="shared" si="0"/>
        <v>0</v>
      </c>
    </row>
    <row r="26" spans="1:9" x14ac:dyDescent="0.25">
      <c r="A26" s="121" t="s">
        <v>26</v>
      </c>
      <c r="B26" s="122"/>
      <c r="C26" s="122"/>
      <c r="D26" s="122"/>
      <c r="E26" s="123"/>
      <c r="F26" s="4">
        <v>0</v>
      </c>
      <c r="G26" s="5" t="s">
        <v>3</v>
      </c>
      <c r="H26" s="5" t="s">
        <v>3</v>
      </c>
      <c r="I26" s="4">
        <f t="shared" si="0"/>
        <v>0</v>
      </c>
    </row>
    <row r="27" spans="1:9" x14ac:dyDescent="0.25">
      <c r="A27" s="124" t="s">
        <v>35</v>
      </c>
      <c r="B27" s="125"/>
      <c r="C27" s="125"/>
      <c r="D27" s="125"/>
      <c r="E27" s="126"/>
      <c r="F27" s="6" t="s">
        <v>3</v>
      </c>
      <c r="G27" s="7" t="s">
        <v>3</v>
      </c>
      <c r="H27" s="7" t="s">
        <v>3</v>
      </c>
      <c r="I27" s="8">
        <f>SUM(I21:I26)</f>
        <v>0</v>
      </c>
    </row>
    <row r="29" spans="1:9" ht="15.75" x14ac:dyDescent="0.25">
      <c r="A29" s="127" t="s">
        <v>36</v>
      </c>
      <c r="B29" s="128"/>
      <c r="C29" s="128"/>
      <c r="D29" s="128"/>
      <c r="E29" s="129"/>
      <c r="F29" s="130">
        <f>I18+I27</f>
        <v>0</v>
      </c>
      <c r="G29" s="131"/>
      <c r="H29" s="131"/>
      <c r="I29" s="132"/>
    </row>
    <row r="33" spans="1:9" ht="15.75" x14ac:dyDescent="0.25">
      <c r="A33" s="113" t="s">
        <v>37</v>
      </c>
      <c r="B33" s="113"/>
      <c r="C33" s="113"/>
      <c r="D33" s="113"/>
      <c r="E33" s="113"/>
    </row>
    <row r="34" spans="1:9" x14ac:dyDescent="0.25">
      <c r="A34" s="114" t="s">
        <v>38</v>
      </c>
      <c r="B34" s="115"/>
      <c r="C34" s="115"/>
      <c r="D34" s="115"/>
      <c r="E34" s="116"/>
      <c r="F34" s="1" t="s">
        <v>31</v>
      </c>
      <c r="G34" s="1" t="s">
        <v>32</v>
      </c>
      <c r="H34" s="1" t="s">
        <v>33</v>
      </c>
      <c r="I34" s="1" t="s">
        <v>31</v>
      </c>
    </row>
    <row r="35" spans="1:9" x14ac:dyDescent="0.25">
      <c r="A35" s="121" t="s">
        <v>3</v>
      </c>
      <c r="B35" s="122"/>
      <c r="C35" s="122"/>
      <c r="D35" s="122"/>
      <c r="E35" s="123"/>
      <c r="F35" s="4">
        <v>0</v>
      </c>
      <c r="G35" s="5" t="s">
        <v>3</v>
      </c>
      <c r="H35" s="5" t="s">
        <v>3</v>
      </c>
      <c r="I35" s="4">
        <f>F35</f>
        <v>0</v>
      </c>
    </row>
    <row r="36" spans="1:9" x14ac:dyDescent="0.25">
      <c r="A36" s="124" t="s">
        <v>39</v>
      </c>
      <c r="B36" s="125"/>
      <c r="C36" s="125"/>
      <c r="D36" s="125"/>
      <c r="E36" s="126"/>
      <c r="F36" s="6" t="s">
        <v>3</v>
      </c>
      <c r="G36" s="7" t="s">
        <v>3</v>
      </c>
      <c r="H36" s="7" t="s">
        <v>3</v>
      </c>
      <c r="I36" s="8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Z105"/>
  <sheetViews>
    <sheetView tabSelected="1" view="pageBreakPreview" zoomScaleNormal="100" zoomScaleSheetLayoutView="100" workbookViewId="0">
      <pane ySplit="6" topLeftCell="A94" activePane="bottomLeft" state="frozen"/>
      <selection pane="bottomLeft" activeCell="G101" sqref="G101"/>
    </sheetView>
  </sheetViews>
  <sheetFormatPr defaultColWidth="12.140625" defaultRowHeight="15" customHeight="1" x14ac:dyDescent="0.25"/>
  <cols>
    <col min="1" max="1" width="2.5703125" customWidth="1"/>
    <col min="2" max="2" width="4" customWidth="1"/>
    <col min="3" max="3" width="14.140625" customWidth="1"/>
    <col min="4" max="4" width="70.7109375" customWidth="1"/>
    <col min="5" max="5" width="6.42578125" customWidth="1"/>
    <col min="6" max="6" width="12.85546875" customWidth="1"/>
    <col min="7" max="7" width="12" customWidth="1"/>
    <col min="8" max="9" width="15.7109375" customWidth="1"/>
    <col min="10" max="10" width="15.7109375" style="90" customWidth="1"/>
    <col min="11" max="11" width="2" style="41" customWidth="1"/>
    <col min="12" max="12" width="13.42578125" customWidth="1"/>
    <col min="13" max="13" width="3.28515625" customWidth="1"/>
    <col min="14" max="70" width="0" hidden="1" customWidth="1"/>
  </cols>
  <sheetData>
    <row r="1" spans="2:52" ht="16.5" thickBot="1" x14ac:dyDescent="0.3">
      <c r="C1" s="21"/>
      <c r="D1" s="134" t="s">
        <v>294</v>
      </c>
      <c r="E1" s="134"/>
      <c r="F1" s="134"/>
      <c r="G1" s="134"/>
      <c r="H1" s="134"/>
      <c r="I1" s="134"/>
      <c r="J1" s="134"/>
      <c r="K1" s="34"/>
      <c r="L1" s="22"/>
      <c r="M1" s="21"/>
    </row>
    <row r="2" spans="2:52" ht="18" customHeight="1" x14ac:dyDescent="0.25">
      <c r="C2" s="23" t="s">
        <v>295</v>
      </c>
      <c r="D2" s="24" t="s">
        <v>296</v>
      </c>
      <c r="E2" s="25"/>
      <c r="F2" s="25"/>
      <c r="G2" s="26"/>
      <c r="H2" s="26"/>
      <c r="I2" s="26"/>
      <c r="J2" s="27"/>
      <c r="K2" s="35"/>
      <c r="L2" s="22"/>
      <c r="M2" s="21"/>
    </row>
    <row r="3" spans="2:52" ht="18" customHeight="1" thickBot="1" x14ac:dyDescent="0.3">
      <c r="C3" s="28" t="s">
        <v>297</v>
      </c>
      <c r="D3" s="29" t="s">
        <v>298</v>
      </c>
      <c r="E3" s="30"/>
      <c r="F3" s="30"/>
      <c r="G3" s="31"/>
      <c r="H3" s="31"/>
      <c r="I3" s="31"/>
      <c r="J3" s="32"/>
      <c r="K3" s="35"/>
      <c r="L3" s="22"/>
      <c r="M3" s="21"/>
    </row>
    <row r="4" spans="2:52" ht="15.75" thickBot="1" x14ac:dyDescent="0.3">
      <c r="C4" s="21"/>
      <c r="D4" s="21"/>
      <c r="E4" s="21"/>
      <c r="F4" s="21"/>
      <c r="G4" s="21"/>
      <c r="H4" s="21"/>
      <c r="I4" s="21"/>
      <c r="J4" s="20"/>
      <c r="K4" s="35"/>
      <c r="L4" s="22"/>
      <c r="M4" s="21"/>
    </row>
    <row r="5" spans="2:52" x14ac:dyDescent="0.25">
      <c r="B5" s="53" t="s">
        <v>41</v>
      </c>
      <c r="C5" s="54" t="s">
        <v>42</v>
      </c>
      <c r="D5" s="55" t="s">
        <v>43</v>
      </c>
      <c r="E5" s="54" t="s">
        <v>44</v>
      </c>
      <c r="F5" s="56" t="s">
        <v>45</v>
      </c>
      <c r="G5" s="57" t="s">
        <v>46</v>
      </c>
      <c r="H5" s="135" t="s">
        <v>47</v>
      </c>
      <c r="I5" s="136"/>
      <c r="J5" s="137"/>
      <c r="K5" s="39"/>
      <c r="L5" s="10" t="s">
        <v>48</v>
      </c>
      <c r="AY5" s="11" t="s">
        <v>49</v>
      </c>
      <c r="AZ5" s="12" t="s">
        <v>50</v>
      </c>
    </row>
    <row r="6" spans="2:52" ht="15.75" thickBot="1" x14ac:dyDescent="0.3">
      <c r="B6" s="58" t="s">
        <v>40</v>
      </c>
      <c r="C6" s="59" t="s">
        <v>40</v>
      </c>
      <c r="D6" s="60" t="s">
        <v>51</v>
      </c>
      <c r="E6" s="59" t="s">
        <v>40</v>
      </c>
      <c r="F6" s="59" t="s">
        <v>40</v>
      </c>
      <c r="G6" s="61" t="s">
        <v>52</v>
      </c>
      <c r="H6" s="62" t="s">
        <v>53</v>
      </c>
      <c r="I6" s="63" t="s">
        <v>19</v>
      </c>
      <c r="J6" s="64" t="s">
        <v>54</v>
      </c>
      <c r="K6" s="39"/>
      <c r="L6" s="13" t="s">
        <v>55</v>
      </c>
      <c r="N6" s="11" t="s">
        <v>56</v>
      </c>
      <c r="O6" s="11" t="s">
        <v>57</v>
      </c>
      <c r="P6" s="11" t="s">
        <v>58</v>
      </c>
      <c r="Q6" s="11" t="s">
        <v>59</v>
      </c>
      <c r="R6" s="11" t="s">
        <v>60</v>
      </c>
      <c r="S6" s="11" t="s">
        <v>61</v>
      </c>
      <c r="T6" s="11" t="s">
        <v>62</v>
      </c>
      <c r="U6" s="11" t="s">
        <v>63</v>
      </c>
      <c r="V6" s="11" t="s">
        <v>64</v>
      </c>
      <c r="AV6" s="11" t="s">
        <v>65</v>
      </c>
      <c r="AW6" s="11" t="s">
        <v>66</v>
      </c>
      <c r="AX6" s="11" t="s">
        <v>67</v>
      </c>
    </row>
    <row r="7" spans="2:52" x14ac:dyDescent="0.25">
      <c r="B7" s="65"/>
      <c r="C7" s="65"/>
      <c r="D7" s="66"/>
      <c r="E7" s="65"/>
      <c r="F7" s="65"/>
      <c r="G7" s="57"/>
      <c r="H7" s="57"/>
      <c r="I7" s="57"/>
      <c r="J7" s="57"/>
      <c r="K7" s="39"/>
      <c r="L7" s="52"/>
      <c r="N7" s="11"/>
      <c r="O7" s="11"/>
      <c r="P7" s="11"/>
      <c r="Q7" s="11"/>
      <c r="R7" s="11"/>
      <c r="S7" s="11"/>
      <c r="T7" s="11"/>
      <c r="U7" s="11"/>
      <c r="V7" s="11"/>
      <c r="AV7" s="11"/>
      <c r="AW7" s="11"/>
      <c r="AX7" s="11"/>
    </row>
    <row r="8" spans="2:52" x14ac:dyDescent="0.25">
      <c r="B8" s="47" t="s">
        <v>3</v>
      </c>
      <c r="C8" s="45" t="s">
        <v>3</v>
      </c>
      <c r="D8" s="46" t="s">
        <v>68</v>
      </c>
      <c r="E8" s="47" t="s">
        <v>40</v>
      </c>
      <c r="F8" s="47" t="s">
        <v>40</v>
      </c>
      <c r="G8" s="47" t="s">
        <v>40</v>
      </c>
      <c r="H8" s="33">
        <f>H10+H23+H55+H71+H77+H83+H90</f>
        <v>0</v>
      </c>
      <c r="I8" s="33">
        <f>I10+I23+I55+I71+I77+I83+I90</f>
        <v>0</v>
      </c>
      <c r="J8" s="33">
        <f>J10+J23+J55+J71+J77+J83+J90</f>
        <v>0</v>
      </c>
      <c r="K8" s="36"/>
      <c r="L8" s="14" t="s">
        <v>3</v>
      </c>
    </row>
    <row r="9" spans="2:52" s="38" customFormat="1" ht="15.75" thickBot="1" x14ac:dyDescent="0.3">
      <c r="B9" s="50"/>
      <c r="C9" s="48"/>
      <c r="D9" s="49"/>
      <c r="E9" s="50"/>
      <c r="F9" s="50"/>
      <c r="G9" s="50"/>
      <c r="H9" s="36"/>
      <c r="I9" s="36"/>
      <c r="J9" s="36"/>
      <c r="K9" s="36"/>
      <c r="L9" s="51"/>
    </row>
    <row r="10" spans="2:52" ht="15" customHeight="1" x14ac:dyDescent="0.25">
      <c r="B10" s="67" t="s">
        <v>3</v>
      </c>
      <c r="C10" s="68" t="s">
        <v>69</v>
      </c>
      <c r="D10" s="68" t="s">
        <v>70</v>
      </c>
      <c r="E10" s="69"/>
      <c r="F10" s="69"/>
      <c r="G10" s="69"/>
      <c r="H10" s="70">
        <f>SUM(H11:H22)</f>
        <v>0</v>
      </c>
      <c r="I10" s="70">
        <f>SUM(I11:I22)</f>
        <v>0</v>
      </c>
      <c r="J10" s="71">
        <f>SUM(J11:J22)</f>
        <v>0</v>
      </c>
      <c r="K10" s="36"/>
      <c r="L10" s="15" t="s">
        <v>3</v>
      </c>
      <c r="W10" s="11" t="s">
        <v>3</v>
      </c>
      <c r="AG10" s="9">
        <f>SUM(X11:X22)</f>
        <v>0</v>
      </c>
      <c r="AH10" s="9">
        <f>SUM(Y11:Y22)</f>
        <v>0</v>
      </c>
      <c r="AI10" s="9">
        <f>SUM(Z11:Z22)</f>
        <v>0</v>
      </c>
    </row>
    <row r="11" spans="2:52" ht="25.5" customHeight="1" x14ac:dyDescent="0.25">
      <c r="B11" s="72" t="s">
        <v>71</v>
      </c>
      <c r="C11" s="21" t="s">
        <v>72</v>
      </c>
      <c r="D11" s="42" t="s">
        <v>73</v>
      </c>
      <c r="E11" s="21" t="s">
        <v>74</v>
      </c>
      <c r="F11" s="73">
        <v>15</v>
      </c>
      <c r="G11" s="140">
        <v>0</v>
      </c>
      <c r="H11" s="73">
        <f t="shared" ref="H11:H18" si="0">ROUND(F11*AC11,2)</f>
        <v>0</v>
      </c>
      <c r="I11" s="73">
        <f t="shared" ref="I11:I18" si="1">ROUND(F11*AD11,2)</f>
        <v>0</v>
      </c>
      <c r="J11" s="87">
        <f t="shared" ref="J11:J18" si="2">ROUND(F11*G11,2)</f>
        <v>0</v>
      </c>
      <c r="K11" s="40"/>
      <c r="L11" s="17" t="s">
        <v>3</v>
      </c>
      <c r="N11" s="16">
        <f t="shared" ref="N11:N18" si="3">ROUND(IF(AE11="5",AX11,0),2)</f>
        <v>0</v>
      </c>
      <c r="P11" s="16">
        <f t="shared" ref="P11:P18" si="4">ROUND(IF(AE11="1",AV11,0),2)</f>
        <v>0</v>
      </c>
      <c r="Q11" s="16">
        <f t="shared" ref="Q11:Q18" si="5">ROUND(IF(AE11="1",AW11,0),2)</f>
        <v>0</v>
      </c>
      <c r="R11" s="16">
        <f t="shared" ref="R11:R18" si="6">ROUND(IF(AE11="7",AV11,0),2)</f>
        <v>0</v>
      </c>
      <c r="S11" s="16">
        <f t="shared" ref="S11:S18" si="7">ROUND(IF(AE11="7",AW11,0),2)</f>
        <v>0</v>
      </c>
      <c r="T11" s="16">
        <f t="shared" ref="T11:T18" si="8">ROUND(IF(AE11="2",AV11,0),2)</f>
        <v>0</v>
      </c>
      <c r="U11" s="16">
        <f t="shared" ref="U11:U18" si="9">ROUND(IF(AE11="2",AW11,0),2)</f>
        <v>0</v>
      </c>
      <c r="V11" s="16">
        <f t="shared" ref="V11:V18" si="10">ROUND(IF(AE11="0",AX11,0),2)</f>
        <v>0</v>
      </c>
      <c r="W11" s="11" t="s">
        <v>3</v>
      </c>
      <c r="X11" s="16">
        <f t="shared" ref="X11:X18" si="11">IF(AB11=0,J11,0)</f>
        <v>0</v>
      </c>
      <c r="Y11" s="16">
        <f t="shared" ref="Y11:Y18" si="12">IF(AB11=12,J11,0)</f>
        <v>0</v>
      </c>
      <c r="Z11" s="16">
        <f t="shared" ref="Z11:Z18" si="13">IF(AB11=21,J11,0)</f>
        <v>0</v>
      </c>
      <c r="AB11" s="16">
        <v>21</v>
      </c>
      <c r="AC11" s="16">
        <f>G11*0</f>
        <v>0</v>
      </c>
      <c r="AD11" s="16">
        <f>G11*(1-0)</f>
        <v>0</v>
      </c>
      <c r="AE11" s="18" t="s">
        <v>75</v>
      </c>
      <c r="AJ11" s="16">
        <f t="shared" ref="AJ11:AJ18" si="14">ROUND(AK11+AL11,2)</f>
        <v>0</v>
      </c>
      <c r="AK11" s="16">
        <f t="shared" ref="AK11:AK18" si="15">ROUND(F11*AC11,2)</f>
        <v>0</v>
      </c>
      <c r="AL11" s="16">
        <f t="shared" ref="AL11:AL18" si="16">ROUND(F11*AD11,2)</f>
        <v>0</v>
      </c>
      <c r="AM11" s="18" t="s">
        <v>76</v>
      </c>
      <c r="AN11" s="18" t="s">
        <v>77</v>
      </c>
      <c r="AO11" s="11" t="s">
        <v>78</v>
      </c>
      <c r="AQ11" s="16">
        <f t="shared" ref="AQ11:AQ18" si="17">AK11+AL11</f>
        <v>0</v>
      </c>
      <c r="AR11" s="16">
        <f t="shared" ref="AR11:AR18" si="18">G11/(100-AS11)*100</f>
        <v>0</v>
      </c>
      <c r="AS11" s="16">
        <v>0</v>
      </c>
      <c r="AT11" s="16">
        <f>14</f>
        <v>14</v>
      </c>
      <c r="AV11" s="16">
        <f t="shared" ref="AV11:AV18" si="19">F11*AC11</f>
        <v>0</v>
      </c>
      <c r="AW11" s="16">
        <f t="shared" ref="AW11:AW18" si="20">F11*AD11</f>
        <v>0</v>
      </c>
      <c r="AX11" s="16">
        <f t="shared" ref="AX11:AX18" si="21">F11*G11</f>
        <v>0</v>
      </c>
      <c r="AY11" s="18" t="s">
        <v>79</v>
      </c>
      <c r="AZ11" s="16">
        <v>728</v>
      </c>
    </row>
    <row r="12" spans="2:52" ht="25.5" customHeight="1" x14ac:dyDescent="0.25">
      <c r="B12" s="72" t="s">
        <v>80</v>
      </c>
      <c r="C12" s="21" t="s">
        <v>81</v>
      </c>
      <c r="D12" s="42" t="s">
        <v>82</v>
      </c>
      <c r="E12" s="21" t="s">
        <v>74</v>
      </c>
      <c r="F12" s="73">
        <v>40</v>
      </c>
      <c r="G12" s="140">
        <v>0</v>
      </c>
      <c r="H12" s="73">
        <f t="shared" si="0"/>
        <v>0</v>
      </c>
      <c r="I12" s="73">
        <f t="shared" si="1"/>
        <v>0</v>
      </c>
      <c r="J12" s="87">
        <f t="shared" si="2"/>
        <v>0</v>
      </c>
      <c r="K12" s="40"/>
      <c r="L12" s="17" t="s">
        <v>3</v>
      </c>
      <c r="N12" s="16">
        <f t="shared" si="3"/>
        <v>0</v>
      </c>
      <c r="P12" s="16">
        <f t="shared" si="4"/>
        <v>0</v>
      </c>
      <c r="Q12" s="16">
        <f t="shared" si="5"/>
        <v>0</v>
      </c>
      <c r="R12" s="16">
        <f t="shared" si="6"/>
        <v>0</v>
      </c>
      <c r="S12" s="16">
        <f t="shared" si="7"/>
        <v>0</v>
      </c>
      <c r="T12" s="16">
        <f t="shared" si="8"/>
        <v>0</v>
      </c>
      <c r="U12" s="16">
        <f t="shared" si="9"/>
        <v>0</v>
      </c>
      <c r="V12" s="16">
        <f t="shared" si="10"/>
        <v>0</v>
      </c>
      <c r="W12" s="11" t="s">
        <v>3</v>
      </c>
      <c r="X12" s="16">
        <f t="shared" si="11"/>
        <v>0</v>
      </c>
      <c r="Y12" s="16">
        <f t="shared" si="12"/>
        <v>0</v>
      </c>
      <c r="Z12" s="16">
        <f t="shared" si="13"/>
        <v>0</v>
      </c>
      <c r="AB12" s="16">
        <v>21</v>
      </c>
      <c r="AC12" s="16">
        <f>G12*0</f>
        <v>0</v>
      </c>
      <c r="AD12" s="16">
        <f>G12*(1-0)</f>
        <v>0</v>
      </c>
      <c r="AE12" s="18" t="s">
        <v>75</v>
      </c>
      <c r="AJ12" s="16">
        <f t="shared" si="14"/>
        <v>0</v>
      </c>
      <c r="AK12" s="16">
        <f t="shared" si="15"/>
        <v>0</v>
      </c>
      <c r="AL12" s="16">
        <f t="shared" si="16"/>
        <v>0</v>
      </c>
      <c r="AM12" s="18" t="s">
        <v>76</v>
      </c>
      <c r="AN12" s="18" t="s">
        <v>77</v>
      </c>
      <c r="AO12" s="11" t="s">
        <v>78</v>
      </c>
      <c r="AQ12" s="16">
        <f t="shared" si="17"/>
        <v>0</v>
      </c>
      <c r="AR12" s="16">
        <f t="shared" si="18"/>
        <v>0</v>
      </c>
      <c r="AS12" s="16">
        <v>0</v>
      </c>
      <c r="AT12" s="16">
        <f>15</f>
        <v>15</v>
      </c>
      <c r="AV12" s="16">
        <f t="shared" si="19"/>
        <v>0</v>
      </c>
      <c r="AW12" s="16">
        <f t="shared" si="20"/>
        <v>0</v>
      </c>
      <c r="AX12" s="16">
        <f t="shared" si="21"/>
        <v>0</v>
      </c>
      <c r="AY12" s="18" t="s">
        <v>79</v>
      </c>
      <c r="AZ12" s="16">
        <v>728</v>
      </c>
    </row>
    <row r="13" spans="2:52" ht="25.5" customHeight="1" x14ac:dyDescent="0.25">
      <c r="B13" s="72" t="s">
        <v>83</v>
      </c>
      <c r="C13" s="21" t="s">
        <v>84</v>
      </c>
      <c r="D13" s="42" t="s">
        <v>85</v>
      </c>
      <c r="E13" s="21" t="s">
        <v>74</v>
      </c>
      <c r="F13" s="73">
        <v>4</v>
      </c>
      <c r="G13" s="140">
        <v>0</v>
      </c>
      <c r="H13" s="73">
        <f t="shared" si="0"/>
        <v>0</v>
      </c>
      <c r="I13" s="73">
        <f t="shared" si="1"/>
        <v>0</v>
      </c>
      <c r="J13" s="87">
        <f t="shared" si="2"/>
        <v>0</v>
      </c>
      <c r="K13" s="40"/>
      <c r="L13" s="17" t="s">
        <v>3</v>
      </c>
      <c r="N13" s="16">
        <f t="shared" si="3"/>
        <v>0</v>
      </c>
      <c r="P13" s="16">
        <f t="shared" si="4"/>
        <v>0</v>
      </c>
      <c r="Q13" s="16">
        <f t="shared" si="5"/>
        <v>0</v>
      </c>
      <c r="R13" s="16">
        <f t="shared" si="6"/>
        <v>0</v>
      </c>
      <c r="S13" s="16">
        <f t="shared" si="7"/>
        <v>0</v>
      </c>
      <c r="T13" s="16">
        <f t="shared" si="8"/>
        <v>0</v>
      </c>
      <c r="U13" s="16">
        <f t="shared" si="9"/>
        <v>0</v>
      </c>
      <c r="V13" s="16">
        <f t="shared" si="10"/>
        <v>0</v>
      </c>
      <c r="W13" s="11" t="s">
        <v>3</v>
      </c>
      <c r="X13" s="16">
        <f t="shared" si="11"/>
        <v>0</v>
      </c>
      <c r="Y13" s="16">
        <f t="shared" si="12"/>
        <v>0</v>
      </c>
      <c r="Z13" s="16">
        <f t="shared" si="13"/>
        <v>0</v>
      </c>
      <c r="AB13" s="16">
        <v>21</v>
      </c>
      <c r="AC13" s="16">
        <f>G13*0</f>
        <v>0</v>
      </c>
      <c r="AD13" s="16">
        <f>G13*(1-0)</f>
        <v>0</v>
      </c>
      <c r="AE13" s="18" t="s">
        <v>75</v>
      </c>
      <c r="AJ13" s="16">
        <f t="shared" si="14"/>
        <v>0</v>
      </c>
      <c r="AK13" s="16">
        <f t="shared" si="15"/>
        <v>0</v>
      </c>
      <c r="AL13" s="16">
        <f t="shared" si="16"/>
        <v>0</v>
      </c>
      <c r="AM13" s="18" t="s">
        <v>76</v>
      </c>
      <c r="AN13" s="18" t="s">
        <v>77</v>
      </c>
      <c r="AO13" s="11" t="s">
        <v>78</v>
      </c>
      <c r="AQ13" s="16">
        <f t="shared" si="17"/>
        <v>0</v>
      </c>
      <c r="AR13" s="16">
        <f t="shared" si="18"/>
        <v>0</v>
      </c>
      <c r="AS13" s="16">
        <v>0</v>
      </c>
      <c r="AT13" s="16">
        <f>16</f>
        <v>16</v>
      </c>
      <c r="AV13" s="16">
        <f t="shared" si="19"/>
        <v>0</v>
      </c>
      <c r="AW13" s="16">
        <f t="shared" si="20"/>
        <v>0</v>
      </c>
      <c r="AX13" s="16">
        <f t="shared" si="21"/>
        <v>0</v>
      </c>
      <c r="AY13" s="18" t="s">
        <v>79</v>
      </c>
      <c r="AZ13" s="16">
        <v>728</v>
      </c>
    </row>
    <row r="14" spans="2:52" ht="25.5" customHeight="1" x14ac:dyDescent="0.25">
      <c r="B14" s="72" t="s">
        <v>86</v>
      </c>
      <c r="C14" s="21" t="s">
        <v>87</v>
      </c>
      <c r="D14" s="42" t="s">
        <v>88</v>
      </c>
      <c r="E14" s="21" t="s">
        <v>74</v>
      </c>
      <c r="F14" s="73">
        <v>10</v>
      </c>
      <c r="G14" s="140">
        <v>0</v>
      </c>
      <c r="H14" s="73">
        <f t="shared" si="0"/>
        <v>0</v>
      </c>
      <c r="I14" s="73">
        <f t="shared" si="1"/>
        <v>0</v>
      </c>
      <c r="J14" s="87">
        <f t="shared" si="2"/>
        <v>0</v>
      </c>
      <c r="K14" s="40"/>
      <c r="L14" s="17" t="s">
        <v>3</v>
      </c>
      <c r="N14" s="16">
        <f t="shared" si="3"/>
        <v>0</v>
      </c>
      <c r="P14" s="16">
        <f t="shared" si="4"/>
        <v>0</v>
      </c>
      <c r="Q14" s="16">
        <f t="shared" si="5"/>
        <v>0</v>
      </c>
      <c r="R14" s="16">
        <f t="shared" si="6"/>
        <v>0</v>
      </c>
      <c r="S14" s="16">
        <f t="shared" si="7"/>
        <v>0</v>
      </c>
      <c r="T14" s="16">
        <f t="shared" si="8"/>
        <v>0</v>
      </c>
      <c r="U14" s="16">
        <f t="shared" si="9"/>
        <v>0</v>
      </c>
      <c r="V14" s="16">
        <f t="shared" si="10"/>
        <v>0</v>
      </c>
      <c r="W14" s="11" t="s">
        <v>3</v>
      </c>
      <c r="X14" s="16">
        <f t="shared" si="11"/>
        <v>0</v>
      </c>
      <c r="Y14" s="16">
        <f t="shared" si="12"/>
        <v>0</v>
      </c>
      <c r="Z14" s="16">
        <f t="shared" si="13"/>
        <v>0</v>
      </c>
      <c r="AB14" s="16">
        <v>21</v>
      </c>
      <c r="AC14" s="16">
        <f>G14*0</f>
        <v>0</v>
      </c>
      <c r="AD14" s="16">
        <f>G14*(1-0)</f>
        <v>0</v>
      </c>
      <c r="AE14" s="18" t="s">
        <v>75</v>
      </c>
      <c r="AJ14" s="16">
        <f t="shared" si="14"/>
        <v>0</v>
      </c>
      <c r="AK14" s="16">
        <f t="shared" si="15"/>
        <v>0</v>
      </c>
      <c r="AL14" s="16">
        <f t="shared" si="16"/>
        <v>0</v>
      </c>
      <c r="AM14" s="18" t="s">
        <v>76</v>
      </c>
      <c r="AN14" s="18" t="s">
        <v>77</v>
      </c>
      <c r="AO14" s="11" t="s">
        <v>78</v>
      </c>
      <c r="AQ14" s="16">
        <f t="shared" si="17"/>
        <v>0</v>
      </c>
      <c r="AR14" s="16">
        <f t="shared" si="18"/>
        <v>0</v>
      </c>
      <c r="AS14" s="16">
        <v>0</v>
      </c>
      <c r="AT14" s="16">
        <f>17</f>
        <v>17</v>
      </c>
      <c r="AV14" s="16">
        <f t="shared" si="19"/>
        <v>0</v>
      </c>
      <c r="AW14" s="16">
        <f t="shared" si="20"/>
        <v>0</v>
      </c>
      <c r="AX14" s="16">
        <f t="shared" si="21"/>
        <v>0</v>
      </c>
      <c r="AY14" s="18" t="s">
        <v>79</v>
      </c>
      <c r="AZ14" s="16">
        <v>728</v>
      </c>
    </row>
    <row r="15" spans="2:52" ht="25.5" customHeight="1" x14ac:dyDescent="0.25">
      <c r="B15" s="72" t="s">
        <v>89</v>
      </c>
      <c r="C15" s="21" t="s">
        <v>90</v>
      </c>
      <c r="D15" s="42" t="s">
        <v>91</v>
      </c>
      <c r="E15" s="21" t="s">
        <v>74</v>
      </c>
      <c r="F15" s="73">
        <v>9</v>
      </c>
      <c r="G15" s="140">
        <v>0</v>
      </c>
      <c r="H15" s="73">
        <f t="shared" si="0"/>
        <v>0</v>
      </c>
      <c r="I15" s="73">
        <f t="shared" si="1"/>
        <v>0</v>
      </c>
      <c r="J15" s="87">
        <f t="shared" si="2"/>
        <v>0</v>
      </c>
      <c r="K15" s="40"/>
      <c r="L15" s="17" t="s">
        <v>3</v>
      </c>
      <c r="N15" s="16">
        <f t="shared" si="3"/>
        <v>0</v>
      </c>
      <c r="P15" s="16">
        <f t="shared" si="4"/>
        <v>0</v>
      </c>
      <c r="Q15" s="16">
        <f t="shared" si="5"/>
        <v>0</v>
      </c>
      <c r="R15" s="16">
        <f t="shared" si="6"/>
        <v>0</v>
      </c>
      <c r="S15" s="16">
        <f t="shared" si="7"/>
        <v>0</v>
      </c>
      <c r="T15" s="16">
        <f t="shared" si="8"/>
        <v>0</v>
      </c>
      <c r="U15" s="16">
        <f t="shared" si="9"/>
        <v>0</v>
      </c>
      <c r="V15" s="16">
        <f t="shared" si="10"/>
        <v>0</v>
      </c>
      <c r="W15" s="11" t="s">
        <v>3</v>
      </c>
      <c r="X15" s="16">
        <f t="shared" si="11"/>
        <v>0</v>
      </c>
      <c r="Y15" s="16">
        <f t="shared" si="12"/>
        <v>0</v>
      </c>
      <c r="Z15" s="16">
        <f t="shared" si="13"/>
        <v>0</v>
      </c>
      <c r="AB15" s="16">
        <v>21</v>
      </c>
      <c r="AC15" s="16">
        <f>G15*0</f>
        <v>0</v>
      </c>
      <c r="AD15" s="16">
        <f>G15*(1-0)</f>
        <v>0</v>
      </c>
      <c r="AE15" s="18" t="s">
        <v>75</v>
      </c>
      <c r="AJ15" s="16">
        <f t="shared" si="14"/>
        <v>0</v>
      </c>
      <c r="AK15" s="16">
        <f t="shared" si="15"/>
        <v>0</v>
      </c>
      <c r="AL15" s="16">
        <f t="shared" si="16"/>
        <v>0</v>
      </c>
      <c r="AM15" s="18" t="s">
        <v>76</v>
      </c>
      <c r="AN15" s="18" t="s">
        <v>77</v>
      </c>
      <c r="AO15" s="11" t="s">
        <v>78</v>
      </c>
      <c r="AQ15" s="16">
        <f t="shared" si="17"/>
        <v>0</v>
      </c>
      <c r="AR15" s="16">
        <f t="shared" si="18"/>
        <v>0</v>
      </c>
      <c r="AS15" s="16">
        <v>0</v>
      </c>
      <c r="AT15" s="16">
        <f>18</f>
        <v>18</v>
      </c>
      <c r="AV15" s="16">
        <f t="shared" si="19"/>
        <v>0</v>
      </c>
      <c r="AW15" s="16">
        <f t="shared" si="20"/>
        <v>0</v>
      </c>
      <c r="AX15" s="16">
        <f t="shared" si="21"/>
        <v>0</v>
      </c>
      <c r="AY15" s="18" t="s">
        <v>79</v>
      </c>
      <c r="AZ15" s="16">
        <v>728</v>
      </c>
    </row>
    <row r="16" spans="2:52" x14ac:dyDescent="0.25">
      <c r="B16" s="72" t="s">
        <v>92</v>
      </c>
      <c r="C16" s="21" t="s">
        <v>93</v>
      </c>
      <c r="D16" s="42" t="s">
        <v>94</v>
      </c>
      <c r="E16" s="21" t="s">
        <v>74</v>
      </c>
      <c r="F16" s="73">
        <v>7</v>
      </c>
      <c r="G16" s="140">
        <v>0</v>
      </c>
      <c r="H16" s="73">
        <f t="shared" si="0"/>
        <v>0</v>
      </c>
      <c r="I16" s="73">
        <f t="shared" si="1"/>
        <v>0</v>
      </c>
      <c r="J16" s="87">
        <f t="shared" si="2"/>
        <v>0</v>
      </c>
      <c r="K16" s="40"/>
      <c r="L16" s="17" t="s">
        <v>95</v>
      </c>
      <c r="N16" s="16">
        <f t="shared" si="3"/>
        <v>0</v>
      </c>
      <c r="P16" s="16">
        <f t="shared" si="4"/>
        <v>0</v>
      </c>
      <c r="Q16" s="16">
        <f t="shared" si="5"/>
        <v>0</v>
      </c>
      <c r="R16" s="16">
        <f t="shared" si="6"/>
        <v>0</v>
      </c>
      <c r="S16" s="16">
        <f t="shared" si="7"/>
        <v>0</v>
      </c>
      <c r="T16" s="16">
        <f t="shared" si="8"/>
        <v>0</v>
      </c>
      <c r="U16" s="16">
        <f t="shared" si="9"/>
        <v>0</v>
      </c>
      <c r="V16" s="16">
        <f t="shared" si="10"/>
        <v>0</v>
      </c>
      <c r="W16" s="11" t="s">
        <v>3</v>
      </c>
      <c r="X16" s="16">
        <f t="shared" si="11"/>
        <v>0</v>
      </c>
      <c r="Y16" s="16">
        <f t="shared" si="12"/>
        <v>0</v>
      </c>
      <c r="Z16" s="16">
        <f t="shared" si="13"/>
        <v>0</v>
      </c>
      <c r="AB16" s="16">
        <v>21</v>
      </c>
      <c r="AC16" s="16">
        <f>G16*1</f>
        <v>0</v>
      </c>
      <c r="AD16" s="16">
        <f>G16*(1-1)</f>
        <v>0</v>
      </c>
      <c r="AE16" s="18" t="s">
        <v>75</v>
      </c>
      <c r="AJ16" s="16">
        <f t="shared" si="14"/>
        <v>0</v>
      </c>
      <c r="AK16" s="16">
        <f t="shared" si="15"/>
        <v>0</v>
      </c>
      <c r="AL16" s="16">
        <f t="shared" si="16"/>
        <v>0</v>
      </c>
      <c r="AM16" s="18" t="s">
        <v>76</v>
      </c>
      <c r="AN16" s="18" t="s">
        <v>77</v>
      </c>
      <c r="AO16" s="11" t="s">
        <v>78</v>
      </c>
      <c r="AQ16" s="16">
        <f t="shared" si="17"/>
        <v>0</v>
      </c>
      <c r="AR16" s="16">
        <f t="shared" si="18"/>
        <v>0</v>
      </c>
      <c r="AS16" s="16">
        <v>0</v>
      </c>
      <c r="AT16" s="16">
        <f>19</f>
        <v>19</v>
      </c>
      <c r="AV16" s="16">
        <f t="shared" si="19"/>
        <v>0</v>
      </c>
      <c r="AW16" s="16">
        <f t="shared" si="20"/>
        <v>0</v>
      </c>
      <c r="AX16" s="16">
        <f t="shared" si="21"/>
        <v>0</v>
      </c>
      <c r="AY16" s="18" t="s">
        <v>96</v>
      </c>
      <c r="AZ16" s="16">
        <v>728</v>
      </c>
    </row>
    <row r="17" spans="2:52" x14ac:dyDescent="0.25">
      <c r="B17" s="72" t="s">
        <v>75</v>
      </c>
      <c r="C17" s="21" t="s">
        <v>97</v>
      </c>
      <c r="D17" s="42" t="s">
        <v>98</v>
      </c>
      <c r="E17" s="21" t="s">
        <v>74</v>
      </c>
      <c r="F17" s="73">
        <v>3</v>
      </c>
      <c r="G17" s="140">
        <v>0</v>
      </c>
      <c r="H17" s="73">
        <f t="shared" si="0"/>
        <v>0</v>
      </c>
      <c r="I17" s="73">
        <f t="shared" si="1"/>
        <v>0</v>
      </c>
      <c r="J17" s="87">
        <f t="shared" si="2"/>
        <v>0</v>
      </c>
      <c r="K17" s="40"/>
      <c r="L17" s="17" t="s">
        <v>95</v>
      </c>
      <c r="N17" s="16">
        <f t="shared" si="3"/>
        <v>0</v>
      </c>
      <c r="P17" s="16">
        <f t="shared" si="4"/>
        <v>0</v>
      </c>
      <c r="Q17" s="16">
        <f t="shared" si="5"/>
        <v>0</v>
      </c>
      <c r="R17" s="16">
        <f t="shared" si="6"/>
        <v>0</v>
      </c>
      <c r="S17" s="16">
        <f t="shared" si="7"/>
        <v>0</v>
      </c>
      <c r="T17" s="16">
        <f t="shared" si="8"/>
        <v>0</v>
      </c>
      <c r="U17" s="16">
        <f t="shared" si="9"/>
        <v>0</v>
      </c>
      <c r="V17" s="16">
        <f t="shared" si="10"/>
        <v>0</v>
      </c>
      <c r="W17" s="11" t="s">
        <v>3</v>
      </c>
      <c r="X17" s="16">
        <f t="shared" si="11"/>
        <v>0</v>
      </c>
      <c r="Y17" s="16">
        <f t="shared" si="12"/>
        <v>0</v>
      </c>
      <c r="Z17" s="16">
        <f t="shared" si="13"/>
        <v>0</v>
      </c>
      <c r="AB17" s="16">
        <v>21</v>
      </c>
      <c r="AC17" s="16">
        <f>G17*1</f>
        <v>0</v>
      </c>
      <c r="AD17" s="16">
        <f>G17*(1-1)</f>
        <v>0</v>
      </c>
      <c r="AE17" s="18" t="s">
        <v>75</v>
      </c>
      <c r="AJ17" s="16">
        <f t="shared" si="14"/>
        <v>0</v>
      </c>
      <c r="AK17" s="16">
        <f t="shared" si="15"/>
        <v>0</v>
      </c>
      <c r="AL17" s="16">
        <f t="shared" si="16"/>
        <v>0</v>
      </c>
      <c r="AM17" s="18" t="s">
        <v>76</v>
      </c>
      <c r="AN17" s="18" t="s">
        <v>77</v>
      </c>
      <c r="AO17" s="11" t="s">
        <v>78</v>
      </c>
      <c r="AQ17" s="16">
        <f t="shared" si="17"/>
        <v>0</v>
      </c>
      <c r="AR17" s="16">
        <f t="shared" si="18"/>
        <v>0</v>
      </c>
      <c r="AS17" s="16">
        <v>0</v>
      </c>
      <c r="AT17" s="16">
        <f>20</f>
        <v>20</v>
      </c>
      <c r="AV17" s="16">
        <f t="shared" si="19"/>
        <v>0</v>
      </c>
      <c r="AW17" s="16">
        <f t="shared" si="20"/>
        <v>0</v>
      </c>
      <c r="AX17" s="16">
        <f t="shared" si="21"/>
        <v>0</v>
      </c>
      <c r="AY17" s="18" t="s">
        <v>96</v>
      </c>
      <c r="AZ17" s="16">
        <v>728</v>
      </c>
    </row>
    <row r="18" spans="2:52" ht="15" customHeight="1" x14ac:dyDescent="0.25">
      <c r="B18" s="72" t="s">
        <v>99</v>
      </c>
      <c r="C18" s="21" t="s">
        <v>100</v>
      </c>
      <c r="D18" s="42" t="s">
        <v>101</v>
      </c>
      <c r="E18" s="21" t="s">
        <v>74</v>
      </c>
      <c r="F18" s="73">
        <v>10</v>
      </c>
      <c r="G18" s="140">
        <v>0</v>
      </c>
      <c r="H18" s="73">
        <f t="shared" si="0"/>
        <v>0</v>
      </c>
      <c r="I18" s="73">
        <f t="shared" si="1"/>
        <v>0</v>
      </c>
      <c r="J18" s="87">
        <f t="shared" si="2"/>
        <v>0</v>
      </c>
      <c r="K18" s="40"/>
      <c r="L18" s="17" t="s">
        <v>95</v>
      </c>
      <c r="N18" s="16">
        <f t="shared" si="3"/>
        <v>0</v>
      </c>
      <c r="P18" s="16">
        <f t="shared" si="4"/>
        <v>0</v>
      </c>
      <c r="Q18" s="16">
        <f t="shared" si="5"/>
        <v>0</v>
      </c>
      <c r="R18" s="16">
        <f t="shared" si="6"/>
        <v>0</v>
      </c>
      <c r="S18" s="16">
        <f t="shared" si="7"/>
        <v>0</v>
      </c>
      <c r="T18" s="16">
        <f t="shared" si="8"/>
        <v>0</v>
      </c>
      <c r="U18" s="16">
        <f t="shared" si="9"/>
        <v>0</v>
      </c>
      <c r="V18" s="16">
        <f t="shared" si="10"/>
        <v>0</v>
      </c>
      <c r="W18" s="11" t="s">
        <v>3</v>
      </c>
      <c r="X18" s="16">
        <f t="shared" si="11"/>
        <v>0</v>
      </c>
      <c r="Y18" s="16">
        <f t="shared" si="12"/>
        <v>0</v>
      </c>
      <c r="Z18" s="16">
        <f t="shared" si="13"/>
        <v>0</v>
      </c>
      <c r="AB18" s="16">
        <v>21</v>
      </c>
      <c r="AC18" s="16">
        <f>G18*0</f>
        <v>0</v>
      </c>
      <c r="AD18" s="16">
        <f>G18*(1-0)</f>
        <v>0</v>
      </c>
      <c r="AE18" s="18" t="s">
        <v>75</v>
      </c>
      <c r="AJ18" s="16">
        <f t="shared" si="14"/>
        <v>0</v>
      </c>
      <c r="AK18" s="16">
        <f t="shared" si="15"/>
        <v>0</v>
      </c>
      <c r="AL18" s="16">
        <f t="shared" si="16"/>
        <v>0</v>
      </c>
      <c r="AM18" s="18" t="s">
        <v>76</v>
      </c>
      <c r="AN18" s="18" t="s">
        <v>77</v>
      </c>
      <c r="AO18" s="11" t="s">
        <v>78</v>
      </c>
      <c r="AQ18" s="16">
        <f t="shared" si="17"/>
        <v>0</v>
      </c>
      <c r="AR18" s="16">
        <f t="shared" si="18"/>
        <v>0</v>
      </c>
      <c r="AS18" s="16">
        <v>0</v>
      </c>
      <c r="AT18" s="16">
        <f>21</f>
        <v>21</v>
      </c>
      <c r="AV18" s="16">
        <f t="shared" si="19"/>
        <v>0</v>
      </c>
      <c r="AW18" s="16">
        <f t="shared" si="20"/>
        <v>0</v>
      </c>
      <c r="AX18" s="16">
        <f t="shared" si="21"/>
        <v>0</v>
      </c>
      <c r="AY18" s="18" t="s">
        <v>79</v>
      </c>
      <c r="AZ18" s="16">
        <v>728</v>
      </c>
    </row>
    <row r="19" spans="2:52" x14ac:dyDescent="0.25">
      <c r="B19" s="74"/>
      <c r="C19" s="75" t="s">
        <v>102</v>
      </c>
      <c r="D19" s="43" t="s">
        <v>103</v>
      </c>
      <c r="E19" s="43"/>
      <c r="F19" s="43"/>
      <c r="G19" s="141"/>
      <c r="H19" s="43"/>
      <c r="I19" s="43"/>
      <c r="J19" s="88"/>
      <c r="K19" s="43"/>
      <c r="L19" s="44"/>
    </row>
    <row r="20" spans="2:52" ht="15" customHeight="1" x14ac:dyDescent="0.25">
      <c r="B20" s="72" t="s">
        <v>104</v>
      </c>
      <c r="C20" s="21" t="s">
        <v>105</v>
      </c>
      <c r="D20" s="42" t="s">
        <v>106</v>
      </c>
      <c r="E20" s="21" t="s">
        <v>74</v>
      </c>
      <c r="F20" s="73">
        <v>2.5</v>
      </c>
      <c r="G20" s="140">
        <v>0</v>
      </c>
      <c r="H20" s="73">
        <f>ROUND(F20*AC20,2)</f>
        <v>0</v>
      </c>
      <c r="I20" s="73">
        <f>ROUND(F20*AD20,2)</f>
        <v>0</v>
      </c>
      <c r="J20" s="87">
        <f>ROUND(F20*G20,2)</f>
        <v>0</v>
      </c>
      <c r="K20" s="40"/>
      <c r="L20" s="17" t="s">
        <v>3</v>
      </c>
      <c r="N20" s="16">
        <f>ROUND(IF(AE20="5",AX20,0),2)</f>
        <v>0</v>
      </c>
      <c r="P20" s="16">
        <f>ROUND(IF(AE20="1",AV20,0),2)</f>
        <v>0</v>
      </c>
      <c r="Q20" s="16">
        <f>ROUND(IF(AE20="1",AW20,0),2)</f>
        <v>0</v>
      </c>
      <c r="R20" s="16">
        <f>ROUND(IF(AE20="7",AV20,0),2)</f>
        <v>0</v>
      </c>
      <c r="S20" s="16">
        <f>ROUND(IF(AE20="7",AW20,0),2)</f>
        <v>0</v>
      </c>
      <c r="T20" s="16">
        <f>ROUND(IF(AE20="2",AV20,0),2)</f>
        <v>0</v>
      </c>
      <c r="U20" s="16">
        <f>ROUND(IF(AE20="2",AW20,0),2)</f>
        <v>0</v>
      </c>
      <c r="V20" s="16">
        <f>ROUND(IF(AE20="0",AX20,0),2)</f>
        <v>0</v>
      </c>
      <c r="W20" s="11" t="s">
        <v>3</v>
      </c>
      <c r="X20" s="16">
        <f>IF(AB20=0,J20,0)</f>
        <v>0</v>
      </c>
      <c r="Y20" s="16">
        <f>IF(AB20=12,J20,0)</f>
        <v>0</v>
      </c>
      <c r="Z20" s="16">
        <f>IF(AB20=21,J20,0)</f>
        <v>0</v>
      </c>
      <c r="AB20" s="16">
        <v>21</v>
      </c>
      <c r="AC20" s="16">
        <f>G20*1</f>
        <v>0</v>
      </c>
      <c r="AD20" s="16">
        <f>G20*(1-1)</f>
        <v>0</v>
      </c>
      <c r="AE20" s="18" t="s">
        <v>75</v>
      </c>
      <c r="AJ20" s="16">
        <f>ROUND(AK20+AL20,2)</f>
        <v>0</v>
      </c>
      <c r="AK20" s="16">
        <f>ROUND(F20*AC20,2)</f>
        <v>0</v>
      </c>
      <c r="AL20" s="16">
        <f>ROUND(F20*AD20,2)</f>
        <v>0</v>
      </c>
      <c r="AM20" s="18" t="s">
        <v>76</v>
      </c>
      <c r="AN20" s="18" t="s">
        <v>77</v>
      </c>
      <c r="AO20" s="11" t="s">
        <v>78</v>
      </c>
      <c r="AQ20" s="16">
        <f>AK20+AL20</f>
        <v>0</v>
      </c>
      <c r="AR20" s="16">
        <f>G20/(100-AS20)*100</f>
        <v>0</v>
      </c>
      <c r="AS20" s="16">
        <v>0</v>
      </c>
      <c r="AT20" s="16">
        <f>23</f>
        <v>23</v>
      </c>
      <c r="AV20" s="16">
        <f>F20*AC20</f>
        <v>0</v>
      </c>
      <c r="AW20" s="16">
        <f>F20*AD20</f>
        <v>0</v>
      </c>
      <c r="AX20" s="16">
        <f>F20*G20</f>
        <v>0</v>
      </c>
      <c r="AY20" s="18" t="s">
        <v>96</v>
      </c>
      <c r="AZ20" s="16">
        <v>728</v>
      </c>
    </row>
    <row r="21" spans="2:52" ht="15" customHeight="1" x14ac:dyDescent="0.25">
      <c r="B21" s="72" t="s">
        <v>107</v>
      </c>
      <c r="C21" s="21" t="s">
        <v>108</v>
      </c>
      <c r="D21" s="42" t="s">
        <v>109</v>
      </c>
      <c r="E21" s="21" t="s">
        <v>74</v>
      </c>
      <c r="F21" s="73">
        <v>0.5</v>
      </c>
      <c r="G21" s="140">
        <v>0</v>
      </c>
      <c r="H21" s="73">
        <f>ROUND(F21*AC21,2)</f>
        <v>0</v>
      </c>
      <c r="I21" s="73">
        <f>ROUND(F21*AD21,2)</f>
        <v>0</v>
      </c>
      <c r="J21" s="87">
        <f>ROUND(F21*G21,2)</f>
        <v>0</v>
      </c>
      <c r="K21" s="40"/>
      <c r="L21" s="17" t="s">
        <v>3</v>
      </c>
      <c r="N21" s="16">
        <f>ROUND(IF(AE21="5",AX21,0),2)</f>
        <v>0</v>
      </c>
      <c r="P21" s="16">
        <f>ROUND(IF(AE21="1",AV21,0),2)</f>
        <v>0</v>
      </c>
      <c r="Q21" s="16">
        <f>ROUND(IF(AE21="1",AW21,0),2)</f>
        <v>0</v>
      </c>
      <c r="R21" s="16">
        <f>ROUND(IF(AE21="7",AV21,0),2)</f>
        <v>0</v>
      </c>
      <c r="S21" s="16">
        <f>ROUND(IF(AE21="7",AW21,0),2)</f>
        <v>0</v>
      </c>
      <c r="T21" s="16">
        <f>ROUND(IF(AE21="2",AV21,0),2)</f>
        <v>0</v>
      </c>
      <c r="U21" s="16">
        <f>ROUND(IF(AE21="2",AW21,0),2)</f>
        <v>0</v>
      </c>
      <c r="V21" s="16">
        <f>ROUND(IF(AE21="0",AX21,0),2)</f>
        <v>0</v>
      </c>
      <c r="W21" s="11" t="s">
        <v>3</v>
      </c>
      <c r="X21" s="16">
        <f>IF(AB21=0,J21,0)</f>
        <v>0</v>
      </c>
      <c r="Y21" s="16">
        <f>IF(AB21=12,J21,0)</f>
        <v>0</v>
      </c>
      <c r="Z21" s="16">
        <f>IF(AB21=21,J21,0)</f>
        <v>0</v>
      </c>
      <c r="AB21" s="16">
        <v>21</v>
      </c>
      <c r="AC21" s="16">
        <f>G21*1</f>
        <v>0</v>
      </c>
      <c r="AD21" s="16">
        <f>G21*(1-1)</f>
        <v>0</v>
      </c>
      <c r="AE21" s="18" t="s">
        <v>75</v>
      </c>
      <c r="AJ21" s="16">
        <f>ROUND(AK21+AL21,2)</f>
        <v>0</v>
      </c>
      <c r="AK21" s="16">
        <f>ROUND(F21*AC21,2)</f>
        <v>0</v>
      </c>
      <c r="AL21" s="16">
        <f>ROUND(F21*AD21,2)</f>
        <v>0</v>
      </c>
      <c r="AM21" s="18" t="s">
        <v>76</v>
      </c>
      <c r="AN21" s="18" t="s">
        <v>77</v>
      </c>
      <c r="AO21" s="11" t="s">
        <v>78</v>
      </c>
      <c r="AQ21" s="16">
        <f>AK21+AL21</f>
        <v>0</v>
      </c>
      <c r="AR21" s="16">
        <f>G21/(100-AS21)*100</f>
        <v>0</v>
      </c>
      <c r="AS21" s="16">
        <v>0</v>
      </c>
      <c r="AT21" s="16">
        <f>24</f>
        <v>24</v>
      </c>
      <c r="AV21" s="16">
        <f>F21*AC21</f>
        <v>0</v>
      </c>
      <c r="AW21" s="16">
        <f>F21*AD21</f>
        <v>0</v>
      </c>
      <c r="AX21" s="16">
        <f>F21*G21</f>
        <v>0</v>
      </c>
      <c r="AY21" s="18" t="s">
        <v>96</v>
      </c>
      <c r="AZ21" s="16">
        <v>728</v>
      </c>
    </row>
    <row r="22" spans="2:52" ht="25.5" customHeight="1" x14ac:dyDescent="0.25">
      <c r="B22" s="72" t="s">
        <v>110</v>
      </c>
      <c r="C22" s="21" t="s">
        <v>111</v>
      </c>
      <c r="D22" s="42" t="s">
        <v>112</v>
      </c>
      <c r="E22" s="21" t="s">
        <v>113</v>
      </c>
      <c r="F22" s="73">
        <v>223.66</v>
      </c>
      <c r="G22" s="140">
        <v>0</v>
      </c>
      <c r="H22" s="73">
        <f>ROUND(F22*AC22,2)</f>
        <v>0</v>
      </c>
      <c r="I22" s="73">
        <f>ROUND(F22*AD22,2)</f>
        <v>0</v>
      </c>
      <c r="J22" s="87">
        <f>ROUND(F22*G22,2)</f>
        <v>0</v>
      </c>
      <c r="K22" s="40"/>
      <c r="L22" s="17" t="s">
        <v>3</v>
      </c>
      <c r="N22" s="16">
        <f>ROUND(IF(AE22="5",AX22,0),2)</f>
        <v>0</v>
      </c>
      <c r="P22" s="16">
        <f>ROUND(IF(AE22="1",AV22,0),2)</f>
        <v>0</v>
      </c>
      <c r="Q22" s="16">
        <f>ROUND(IF(AE22="1",AW22,0),2)</f>
        <v>0</v>
      </c>
      <c r="R22" s="16">
        <f>ROUND(IF(AE22="7",AV22,0),2)</f>
        <v>0</v>
      </c>
      <c r="S22" s="16">
        <f>ROUND(IF(AE22="7",AW22,0),2)</f>
        <v>0</v>
      </c>
      <c r="T22" s="16">
        <f>ROUND(IF(AE22="2",AV22,0),2)</f>
        <v>0</v>
      </c>
      <c r="U22" s="16">
        <f>ROUND(IF(AE22="2",AW22,0),2)</f>
        <v>0</v>
      </c>
      <c r="V22" s="16">
        <f>ROUND(IF(AE22="0",AX22,0),2)</f>
        <v>0</v>
      </c>
      <c r="W22" s="11" t="s">
        <v>3</v>
      </c>
      <c r="X22" s="16">
        <f>IF(AB22=0,J22,0)</f>
        <v>0</v>
      </c>
      <c r="Y22" s="16">
        <f>IF(AB22=12,J22,0)</f>
        <v>0</v>
      </c>
      <c r="Z22" s="16">
        <f>IF(AB22=21,J22,0)</f>
        <v>0</v>
      </c>
      <c r="AB22" s="16">
        <v>21</v>
      </c>
      <c r="AC22" s="16">
        <f>G22*1</f>
        <v>0</v>
      </c>
      <c r="AD22" s="16">
        <f>G22*(1-1)</f>
        <v>0</v>
      </c>
      <c r="AE22" s="18" t="s">
        <v>75</v>
      </c>
      <c r="AJ22" s="16">
        <f>ROUND(AK22+AL22,2)</f>
        <v>0</v>
      </c>
      <c r="AK22" s="16">
        <f>ROUND(F22*AC22,2)</f>
        <v>0</v>
      </c>
      <c r="AL22" s="16">
        <f>ROUND(F22*AD22,2)</f>
        <v>0</v>
      </c>
      <c r="AM22" s="18" t="s">
        <v>76</v>
      </c>
      <c r="AN22" s="18" t="s">
        <v>77</v>
      </c>
      <c r="AO22" s="11" t="s">
        <v>78</v>
      </c>
      <c r="AQ22" s="16">
        <f>AK22+AL22</f>
        <v>0</v>
      </c>
      <c r="AR22" s="16">
        <f>G22/(100-AS22)*100</f>
        <v>0</v>
      </c>
      <c r="AS22" s="16">
        <v>0</v>
      </c>
      <c r="AT22" s="16">
        <f>25</f>
        <v>25</v>
      </c>
      <c r="AV22" s="16">
        <f>F22*AC22</f>
        <v>0</v>
      </c>
      <c r="AW22" s="16">
        <f>F22*AD22</f>
        <v>0</v>
      </c>
      <c r="AX22" s="16">
        <f>F22*G22</f>
        <v>0</v>
      </c>
      <c r="AY22" s="18" t="s">
        <v>96</v>
      </c>
      <c r="AZ22" s="16">
        <v>728</v>
      </c>
    </row>
    <row r="23" spans="2:52" x14ac:dyDescent="0.25">
      <c r="B23" s="76" t="s">
        <v>3</v>
      </c>
      <c r="C23" s="45" t="s">
        <v>114</v>
      </c>
      <c r="D23" s="46" t="s">
        <v>115</v>
      </c>
      <c r="E23" s="47" t="s">
        <v>40</v>
      </c>
      <c r="F23" s="47" t="s">
        <v>40</v>
      </c>
      <c r="G23" s="142" t="s">
        <v>40</v>
      </c>
      <c r="H23" s="33">
        <f>SUM(H24:H54)</f>
        <v>0</v>
      </c>
      <c r="I23" s="33">
        <f>SUM(I24:I54)</f>
        <v>0</v>
      </c>
      <c r="J23" s="77">
        <f>SUM(J24:J54)</f>
        <v>0</v>
      </c>
      <c r="K23" s="36"/>
      <c r="L23" s="15" t="s">
        <v>3</v>
      </c>
      <c r="W23" s="11" t="s">
        <v>3</v>
      </c>
      <c r="AG23" s="9">
        <f>SUM(X24:X54)</f>
        <v>0</v>
      </c>
      <c r="AH23" s="9">
        <f>SUM(Y24:Y54)</f>
        <v>0</v>
      </c>
      <c r="AI23" s="9">
        <f>SUM(Z24:Z54)</f>
        <v>0</v>
      </c>
    </row>
    <row r="24" spans="2:52" ht="15" customHeight="1" x14ac:dyDescent="0.25">
      <c r="B24" s="72" t="s">
        <v>116</v>
      </c>
      <c r="C24" s="21" t="s">
        <v>117</v>
      </c>
      <c r="D24" s="42" t="s">
        <v>118</v>
      </c>
      <c r="E24" s="21" t="s">
        <v>119</v>
      </c>
      <c r="F24" s="73">
        <v>1</v>
      </c>
      <c r="G24" s="140">
        <v>0</v>
      </c>
      <c r="H24" s="73">
        <f>ROUND(F24*AC24,2)</f>
        <v>0</v>
      </c>
      <c r="I24" s="73">
        <f>ROUND(F24*AD24,2)</f>
        <v>0</v>
      </c>
      <c r="J24" s="87">
        <f>ROUND(F24*G24,2)</f>
        <v>0</v>
      </c>
      <c r="K24" s="40"/>
      <c r="L24" s="17" t="s">
        <v>3</v>
      </c>
      <c r="N24" s="16">
        <f>ROUND(IF(AE24="5",AX24,0),2)</f>
        <v>0</v>
      </c>
      <c r="P24" s="16">
        <f>ROUND(IF(AE24="1",AV24,0),2)</f>
        <v>0</v>
      </c>
      <c r="Q24" s="16">
        <f>ROUND(IF(AE24="1",AW24,0),2)</f>
        <v>0</v>
      </c>
      <c r="R24" s="16">
        <f>ROUND(IF(AE24="7",AV24,0),2)</f>
        <v>0</v>
      </c>
      <c r="S24" s="16">
        <f>ROUND(IF(AE24="7",AW24,0),2)</f>
        <v>0</v>
      </c>
      <c r="T24" s="16">
        <f>ROUND(IF(AE24="2",AV24,0),2)</f>
        <v>0</v>
      </c>
      <c r="U24" s="16">
        <f>ROUND(IF(AE24="2",AW24,0),2)</f>
        <v>0</v>
      </c>
      <c r="V24" s="16">
        <f>ROUND(IF(AE24="0",AX24,0),2)</f>
        <v>0</v>
      </c>
      <c r="W24" s="11" t="s">
        <v>3</v>
      </c>
      <c r="X24" s="16">
        <f>IF(AB24=0,J24,0)</f>
        <v>0</v>
      </c>
      <c r="Y24" s="16">
        <f>IF(AB24=12,J24,0)</f>
        <v>0</v>
      </c>
      <c r="Z24" s="16">
        <f>IF(AB24=21,J24,0)</f>
        <v>0</v>
      </c>
      <c r="AB24" s="16">
        <v>21</v>
      </c>
      <c r="AC24" s="16">
        <f>G24*1</f>
        <v>0</v>
      </c>
      <c r="AD24" s="16">
        <f>G24*(1-1)</f>
        <v>0</v>
      </c>
      <c r="AE24" s="18" t="s">
        <v>71</v>
      </c>
      <c r="AJ24" s="16">
        <f>ROUND(AK24+AL24,2)</f>
        <v>0</v>
      </c>
      <c r="AK24" s="16">
        <f>ROUND(F24*AC24,2)</f>
        <v>0</v>
      </c>
      <c r="AL24" s="16">
        <f>ROUND(F24*AD24,2)</f>
        <v>0</v>
      </c>
      <c r="AM24" s="18" t="s">
        <v>120</v>
      </c>
      <c r="AN24" s="18" t="s">
        <v>121</v>
      </c>
      <c r="AO24" s="11" t="s">
        <v>78</v>
      </c>
      <c r="AQ24" s="16">
        <f>AK24+AL24</f>
        <v>0</v>
      </c>
      <c r="AR24" s="16">
        <f>G24/(100-AS24)*100</f>
        <v>0</v>
      </c>
      <c r="AS24" s="16">
        <v>0</v>
      </c>
      <c r="AT24" s="16">
        <f>27</f>
        <v>27</v>
      </c>
      <c r="AV24" s="16">
        <f>F24*AC24</f>
        <v>0</v>
      </c>
      <c r="AW24" s="16">
        <f>F24*AD24</f>
        <v>0</v>
      </c>
      <c r="AX24" s="16">
        <f>F24*G24</f>
        <v>0</v>
      </c>
      <c r="AY24" s="18" t="s">
        <v>79</v>
      </c>
      <c r="AZ24" s="16">
        <v>31</v>
      </c>
    </row>
    <row r="25" spans="2:52" ht="146.25" customHeight="1" x14ac:dyDescent="0.25">
      <c r="B25" s="74"/>
      <c r="C25" s="75" t="s">
        <v>122</v>
      </c>
      <c r="D25" s="43" t="s">
        <v>123</v>
      </c>
      <c r="E25" s="43"/>
      <c r="F25" s="43"/>
      <c r="G25" s="141"/>
      <c r="H25" s="43"/>
      <c r="I25" s="43"/>
      <c r="J25" s="88"/>
      <c r="K25" s="43"/>
      <c r="L25" s="44"/>
    </row>
    <row r="26" spans="2:52" ht="15" customHeight="1" x14ac:dyDescent="0.25">
      <c r="B26" s="72" t="s">
        <v>124</v>
      </c>
      <c r="C26" s="94" t="s">
        <v>125</v>
      </c>
      <c r="D26" s="42" t="s">
        <v>302</v>
      </c>
      <c r="E26" s="21" t="s">
        <v>126</v>
      </c>
      <c r="F26" s="73">
        <v>1</v>
      </c>
      <c r="G26" s="140">
        <v>0</v>
      </c>
      <c r="H26" s="73">
        <f>ROUND(F26*AC26,2)</f>
        <v>0</v>
      </c>
      <c r="I26" s="73">
        <f>ROUND(F26*AD26,2)</f>
        <v>0</v>
      </c>
      <c r="J26" s="87">
        <f>ROUND(F26*G26,2)</f>
        <v>0</v>
      </c>
      <c r="K26" s="40"/>
      <c r="L26" s="17" t="s">
        <v>3</v>
      </c>
      <c r="N26" s="16">
        <f>ROUND(IF(AE26="5",AX26,0),2)</f>
        <v>0</v>
      </c>
      <c r="P26" s="16">
        <f>ROUND(IF(AE26="1",AV26,0),2)</f>
        <v>0</v>
      </c>
      <c r="Q26" s="16">
        <f>ROUND(IF(AE26="1",AW26,0),2)</f>
        <v>0</v>
      </c>
      <c r="R26" s="16">
        <f>ROUND(IF(AE26="7",AV26,0),2)</f>
        <v>0</v>
      </c>
      <c r="S26" s="16">
        <f>ROUND(IF(AE26="7",AW26,0),2)</f>
        <v>0</v>
      </c>
      <c r="T26" s="16">
        <f>ROUND(IF(AE26="2",AV26,0),2)</f>
        <v>0</v>
      </c>
      <c r="U26" s="16">
        <f>ROUND(IF(AE26="2",AW26,0),2)</f>
        <v>0</v>
      </c>
      <c r="V26" s="16">
        <f>ROUND(IF(AE26="0",AX26,0),2)</f>
        <v>0</v>
      </c>
      <c r="W26" s="11" t="s">
        <v>3</v>
      </c>
      <c r="X26" s="16">
        <f>IF(AB26=0,J26,0)</f>
        <v>0</v>
      </c>
      <c r="Y26" s="16">
        <f>IF(AB26=12,J26,0)</f>
        <v>0</v>
      </c>
      <c r="Z26" s="16">
        <f>IF(AB26=21,J26,0)</f>
        <v>0</v>
      </c>
      <c r="AB26" s="16">
        <v>21</v>
      </c>
      <c r="AC26" s="16">
        <f>G26*0.462577333</f>
        <v>0</v>
      </c>
      <c r="AD26" s="16">
        <f>G26*(1-0.462577333)</f>
        <v>0</v>
      </c>
      <c r="AE26" s="18" t="s">
        <v>71</v>
      </c>
      <c r="AJ26" s="16">
        <f>ROUND(AK26+AL26,2)</f>
        <v>0</v>
      </c>
      <c r="AK26" s="16">
        <f>ROUND(F26*AC26,2)</f>
        <v>0</v>
      </c>
      <c r="AL26" s="16">
        <f>ROUND(F26*AD26,2)</f>
        <v>0</v>
      </c>
      <c r="AM26" s="18" t="s">
        <v>120</v>
      </c>
      <c r="AN26" s="18" t="s">
        <v>121</v>
      </c>
      <c r="AO26" s="11" t="s">
        <v>78</v>
      </c>
      <c r="AQ26" s="16">
        <f>AK26+AL26</f>
        <v>0</v>
      </c>
      <c r="AR26" s="16">
        <f>G26/(100-AS26)*100</f>
        <v>0</v>
      </c>
      <c r="AS26" s="16">
        <v>0</v>
      </c>
      <c r="AT26" s="16">
        <f>29</f>
        <v>29</v>
      </c>
      <c r="AV26" s="16">
        <f>F26*AC26</f>
        <v>0</v>
      </c>
      <c r="AW26" s="16">
        <f>F26*AD26</f>
        <v>0</v>
      </c>
      <c r="AX26" s="16">
        <f>F26*G26</f>
        <v>0</v>
      </c>
      <c r="AY26" s="18" t="s">
        <v>79</v>
      </c>
      <c r="AZ26" s="16">
        <v>31</v>
      </c>
    </row>
    <row r="27" spans="2:52" ht="13.5" customHeight="1" x14ac:dyDescent="0.25">
      <c r="B27" s="74"/>
      <c r="C27" s="75" t="s">
        <v>122</v>
      </c>
      <c r="D27" s="43" t="s">
        <v>303</v>
      </c>
      <c r="E27" s="43"/>
      <c r="F27" s="43"/>
      <c r="G27" s="141"/>
      <c r="H27" s="43"/>
      <c r="I27" s="43"/>
      <c r="J27" s="88"/>
      <c r="K27" s="43"/>
      <c r="L27" s="44"/>
    </row>
    <row r="28" spans="2:52" ht="13.5" customHeight="1" x14ac:dyDescent="0.25">
      <c r="B28" s="74"/>
      <c r="C28" s="75"/>
      <c r="D28" s="93" t="s">
        <v>304</v>
      </c>
      <c r="E28" s="43"/>
      <c r="F28" s="43"/>
      <c r="G28" s="141"/>
      <c r="H28" s="43"/>
      <c r="I28" s="43"/>
      <c r="J28" s="88"/>
      <c r="K28" s="43"/>
      <c r="L28" s="44"/>
    </row>
    <row r="29" spans="2:52" ht="25.5" customHeight="1" x14ac:dyDescent="0.25">
      <c r="B29" s="72" t="s">
        <v>127</v>
      </c>
      <c r="C29" s="21" t="s">
        <v>128</v>
      </c>
      <c r="D29" s="42" t="s">
        <v>129</v>
      </c>
      <c r="E29" s="21" t="s">
        <v>126</v>
      </c>
      <c r="F29" s="73">
        <v>1</v>
      </c>
      <c r="G29" s="140">
        <v>0</v>
      </c>
      <c r="H29" s="73">
        <f>ROUND(F29*AC29,2)</f>
        <v>0</v>
      </c>
      <c r="I29" s="73">
        <f>ROUND(F29*AD29,2)</f>
        <v>0</v>
      </c>
      <c r="J29" s="87">
        <f>ROUND(F29*G29,2)</f>
        <v>0</v>
      </c>
      <c r="K29" s="40"/>
      <c r="L29" s="17" t="s">
        <v>3</v>
      </c>
      <c r="N29" s="16">
        <f>ROUND(IF(AE29="5",AX29,0),2)</f>
        <v>0</v>
      </c>
      <c r="P29" s="16">
        <f>ROUND(IF(AE29="1",AV29,0),2)</f>
        <v>0</v>
      </c>
      <c r="Q29" s="16">
        <f>ROUND(IF(AE29="1",AW29,0),2)</f>
        <v>0</v>
      </c>
      <c r="R29" s="16">
        <f>ROUND(IF(AE29="7",AV29,0),2)</f>
        <v>0</v>
      </c>
      <c r="S29" s="16">
        <f>ROUND(IF(AE29="7",AW29,0),2)</f>
        <v>0</v>
      </c>
      <c r="T29" s="16">
        <f>ROUND(IF(AE29="2",AV29,0),2)</f>
        <v>0</v>
      </c>
      <c r="U29" s="16">
        <f>ROUND(IF(AE29="2",AW29,0),2)</f>
        <v>0</v>
      </c>
      <c r="V29" s="16">
        <f>ROUND(IF(AE29="0",AX29,0),2)</f>
        <v>0</v>
      </c>
      <c r="W29" s="11" t="s">
        <v>3</v>
      </c>
      <c r="X29" s="16">
        <f>IF(AB29=0,J29,0)</f>
        <v>0</v>
      </c>
      <c r="Y29" s="16">
        <f>IF(AB29=12,J29,0)</f>
        <v>0</v>
      </c>
      <c r="Z29" s="16">
        <f>IF(AB29=21,J29,0)</f>
        <v>0</v>
      </c>
      <c r="AB29" s="16">
        <v>21</v>
      </c>
      <c r="AC29" s="16">
        <f>G29*1</f>
        <v>0</v>
      </c>
      <c r="AD29" s="16">
        <f>G29*(1-1)</f>
        <v>0</v>
      </c>
      <c r="AE29" s="18" t="s">
        <v>71</v>
      </c>
      <c r="AJ29" s="16">
        <f>ROUND(AK29+AL29,2)</f>
        <v>0</v>
      </c>
      <c r="AK29" s="16">
        <f>ROUND(F29*AC29,2)</f>
        <v>0</v>
      </c>
      <c r="AL29" s="16">
        <f>ROUND(F29*AD29,2)</f>
        <v>0</v>
      </c>
      <c r="AM29" s="18" t="s">
        <v>120</v>
      </c>
      <c r="AN29" s="18" t="s">
        <v>121</v>
      </c>
      <c r="AO29" s="11" t="s">
        <v>78</v>
      </c>
      <c r="AQ29" s="16">
        <f>AK29+AL29</f>
        <v>0</v>
      </c>
      <c r="AR29" s="16">
        <f>G29/(100-AS29)*100</f>
        <v>0</v>
      </c>
      <c r="AS29" s="16">
        <v>0</v>
      </c>
      <c r="AT29" s="16">
        <f>31</f>
        <v>31</v>
      </c>
      <c r="AV29" s="16">
        <f>F29*AC29</f>
        <v>0</v>
      </c>
      <c r="AW29" s="16">
        <f>F29*AD29</f>
        <v>0</v>
      </c>
      <c r="AX29" s="16">
        <f>F29*G29</f>
        <v>0</v>
      </c>
      <c r="AY29" s="18" t="s">
        <v>79</v>
      </c>
      <c r="AZ29" s="16">
        <v>31</v>
      </c>
    </row>
    <row r="30" spans="2:52" ht="27" customHeight="1" x14ac:dyDescent="0.25">
      <c r="B30" s="74"/>
      <c r="C30" s="75" t="s">
        <v>122</v>
      </c>
      <c r="D30" s="43" t="s">
        <v>130</v>
      </c>
      <c r="E30" s="43"/>
      <c r="F30" s="43"/>
      <c r="G30" s="141"/>
      <c r="H30" s="43"/>
      <c r="I30" s="43"/>
      <c r="J30" s="88"/>
      <c r="K30" s="43"/>
      <c r="L30" s="44"/>
    </row>
    <row r="31" spans="2:52" ht="25.5" customHeight="1" x14ac:dyDescent="0.25">
      <c r="B31" s="72" t="s">
        <v>131</v>
      </c>
      <c r="C31" s="21" t="s">
        <v>128</v>
      </c>
      <c r="D31" s="42" t="s">
        <v>132</v>
      </c>
      <c r="E31" s="21" t="s">
        <v>126</v>
      </c>
      <c r="F31" s="73">
        <v>1</v>
      </c>
      <c r="G31" s="140">
        <v>0</v>
      </c>
      <c r="H31" s="73">
        <f>ROUND(F31*AC31,2)</f>
        <v>0</v>
      </c>
      <c r="I31" s="73">
        <f>ROUND(F31*AD31,2)</f>
        <v>0</v>
      </c>
      <c r="J31" s="87">
        <f>ROUND(F31*G31,2)</f>
        <v>0</v>
      </c>
      <c r="K31" s="40"/>
      <c r="L31" s="17" t="s">
        <v>3</v>
      </c>
      <c r="N31" s="16">
        <f>ROUND(IF(AE31="5",AX31,0),2)</f>
        <v>0</v>
      </c>
      <c r="P31" s="16">
        <f>ROUND(IF(AE31="1",AV31,0),2)</f>
        <v>0</v>
      </c>
      <c r="Q31" s="16">
        <f>ROUND(IF(AE31="1",AW31,0),2)</f>
        <v>0</v>
      </c>
      <c r="R31" s="16">
        <f>ROUND(IF(AE31="7",AV31,0),2)</f>
        <v>0</v>
      </c>
      <c r="S31" s="16">
        <f>ROUND(IF(AE31="7",AW31,0),2)</f>
        <v>0</v>
      </c>
      <c r="T31" s="16">
        <f>ROUND(IF(AE31="2",AV31,0),2)</f>
        <v>0</v>
      </c>
      <c r="U31" s="16">
        <f>ROUND(IF(AE31="2",AW31,0),2)</f>
        <v>0</v>
      </c>
      <c r="V31" s="16">
        <f>ROUND(IF(AE31="0",AX31,0),2)</f>
        <v>0</v>
      </c>
      <c r="W31" s="11" t="s">
        <v>3</v>
      </c>
      <c r="X31" s="16">
        <f>IF(AB31=0,J31,0)</f>
        <v>0</v>
      </c>
      <c r="Y31" s="16">
        <f>IF(AB31=12,J31,0)</f>
        <v>0</v>
      </c>
      <c r="Z31" s="16">
        <f>IF(AB31=21,J31,0)</f>
        <v>0</v>
      </c>
      <c r="AB31" s="16">
        <v>21</v>
      </c>
      <c r="AC31" s="16">
        <f>G31*0.666922425</f>
        <v>0</v>
      </c>
      <c r="AD31" s="16">
        <f>G31*(1-0.666922425)</f>
        <v>0</v>
      </c>
      <c r="AE31" s="18" t="s">
        <v>71</v>
      </c>
      <c r="AJ31" s="16">
        <f>ROUND(AK31+AL31,2)</f>
        <v>0</v>
      </c>
      <c r="AK31" s="16">
        <f>ROUND(F31*AC31,2)</f>
        <v>0</v>
      </c>
      <c r="AL31" s="16">
        <f>ROUND(F31*AD31,2)</f>
        <v>0</v>
      </c>
      <c r="AM31" s="18" t="s">
        <v>120</v>
      </c>
      <c r="AN31" s="18" t="s">
        <v>121</v>
      </c>
      <c r="AO31" s="11" t="s">
        <v>78</v>
      </c>
      <c r="AQ31" s="16">
        <f>AK31+AL31</f>
        <v>0</v>
      </c>
      <c r="AR31" s="16">
        <f>G31/(100-AS31)*100</f>
        <v>0</v>
      </c>
      <c r="AS31" s="16">
        <v>0</v>
      </c>
      <c r="AT31" s="16">
        <f>33</f>
        <v>33</v>
      </c>
      <c r="AV31" s="16">
        <f>F31*AC31</f>
        <v>0</v>
      </c>
      <c r="AW31" s="16">
        <f>F31*AD31</f>
        <v>0</v>
      </c>
      <c r="AX31" s="16">
        <f>F31*G31</f>
        <v>0</v>
      </c>
      <c r="AY31" s="18" t="s">
        <v>79</v>
      </c>
      <c r="AZ31" s="16">
        <v>31</v>
      </c>
    </row>
    <row r="32" spans="2:52" ht="27" customHeight="1" x14ac:dyDescent="0.25">
      <c r="B32" s="74"/>
      <c r="C32" s="75" t="s">
        <v>122</v>
      </c>
      <c r="D32" s="43" t="s">
        <v>133</v>
      </c>
      <c r="E32" s="43"/>
      <c r="F32" s="43"/>
      <c r="G32" s="141"/>
      <c r="H32" s="43"/>
      <c r="I32" s="43"/>
      <c r="J32" s="88"/>
      <c r="K32" s="43"/>
      <c r="L32" s="44"/>
    </row>
    <row r="33" spans="2:52" ht="25.5" customHeight="1" x14ac:dyDescent="0.25">
      <c r="B33" s="72" t="s">
        <v>134</v>
      </c>
      <c r="C33" s="21" t="s">
        <v>135</v>
      </c>
      <c r="D33" s="42" t="s">
        <v>136</v>
      </c>
      <c r="E33" s="21" t="s">
        <v>126</v>
      </c>
      <c r="F33" s="73">
        <v>1</v>
      </c>
      <c r="G33" s="140">
        <v>0</v>
      </c>
      <c r="H33" s="73">
        <f>ROUND(F33*AC33,2)</f>
        <v>0</v>
      </c>
      <c r="I33" s="73">
        <f>ROUND(F33*AD33,2)</f>
        <v>0</v>
      </c>
      <c r="J33" s="87">
        <f>ROUND(F33*G33,2)</f>
        <v>0</v>
      </c>
      <c r="K33" s="40"/>
      <c r="L33" s="17" t="s">
        <v>3</v>
      </c>
      <c r="N33" s="16">
        <f>ROUND(IF(AE33="5",AX33,0),2)</f>
        <v>0</v>
      </c>
      <c r="P33" s="16">
        <f>ROUND(IF(AE33="1",AV33,0),2)</f>
        <v>0</v>
      </c>
      <c r="Q33" s="16">
        <f>ROUND(IF(AE33="1",AW33,0),2)</f>
        <v>0</v>
      </c>
      <c r="R33" s="16">
        <f>ROUND(IF(AE33="7",AV33,0),2)</f>
        <v>0</v>
      </c>
      <c r="S33" s="16">
        <f>ROUND(IF(AE33="7",AW33,0),2)</f>
        <v>0</v>
      </c>
      <c r="T33" s="16">
        <f>ROUND(IF(AE33="2",AV33,0),2)</f>
        <v>0</v>
      </c>
      <c r="U33" s="16">
        <f>ROUND(IF(AE33="2",AW33,0),2)</f>
        <v>0</v>
      </c>
      <c r="V33" s="16">
        <f>ROUND(IF(AE33="0",AX33,0),2)</f>
        <v>0</v>
      </c>
      <c r="W33" s="11" t="s">
        <v>3</v>
      </c>
      <c r="X33" s="16">
        <f>IF(AB33=0,J33,0)</f>
        <v>0</v>
      </c>
      <c r="Y33" s="16">
        <f>IF(AB33=12,J33,0)</f>
        <v>0</v>
      </c>
      <c r="Z33" s="16">
        <f>IF(AB33=21,J33,0)</f>
        <v>0</v>
      </c>
      <c r="AB33" s="16">
        <v>21</v>
      </c>
      <c r="AC33" s="16">
        <f>G33*1</f>
        <v>0</v>
      </c>
      <c r="AD33" s="16">
        <f>G33*(1-1)</f>
        <v>0</v>
      </c>
      <c r="AE33" s="18" t="s">
        <v>71</v>
      </c>
      <c r="AJ33" s="16">
        <f>ROUND(AK33+AL33,2)</f>
        <v>0</v>
      </c>
      <c r="AK33" s="16">
        <f>ROUND(F33*AC33,2)</f>
        <v>0</v>
      </c>
      <c r="AL33" s="16">
        <f>ROUND(F33*AD33,2)</f>
        <v>0</v>
      </c>
      <c r="AM33" s="18" t="s">
        <v>120</v>
      </c>
      <c r="AN33" s="18" t="s">
        <v>121</v>
      </c>
      <c r="AO33" s="11" t="s">
        <v>78</v>
      </c>
      <c r="AQ33" s="16">
        <f>AK33+AL33</f>
        <v>0</v>
      </c>
      <c r="AR33" s="16">
        <f>G33/(100-AS33)*100</f>
        <v>0</v>
      </c>
      <c r="AS33" s="16">
        <v>0</v>
      </c>
      <c r="AT33" s="16">
        <f>35</f>
        <v>35</v>
      </c>
      <c r="AV33" s="16">
        <f>F33*AC33</f>
        <v>0</v>
      </c>
      <c r="AW33" s="16">
        <f>F33*AD33</f>
        <v>0</v>
      </c>
      <c r="AX33" s="16">
        <f>F33*G33</f>
        <v>0</v>
      </c>
      <c r="AY33" s="18" t="s">
        <v>79</v>
      </c>
      <c r="AZ33" s="16">
        <v>31</v>
      </c>
    </row>
    <row r="34" spans="2:52" ht="27" customHeight="1" x14ac:dyDescent="0.25">
      <c r="B34" s="74"/>
      <c r="C34" s="75" t="s">
        <v>122</v>
      </c>
      <c r="D34" s="43" t="s">
        <v>137</v>
      </c>
      <c r="E34" s="43"/>
      <c r="F34" s="43"/>
      <c r="G34" s="141"/>
      <c r="H34" s="43"/>
      <c r="I34" s="43"/>
      <c r="J34" s="88"/>
      <c r="K34" s="43"/>
      <c r="L34" s="44"/>
    </row>
    <row r="35" spans="2:52" ht="25.5" customHeight="1" x14ac:dyDescent="0.25">
      <c r="B35" s="72" t="s">
        <v>138</v>
      </c>
      <c r="C35" s="21" t="s">
        <v>139</v>
      </c>
      <c r="D35" s="42" t="s">
        <v>140</v>
      </c>
      <c r="E35" s="21" t="s">
        <v>126</v>
      </c>
      <c r="F35" s="73">
        <v>1</v>
      </c>
      <c r="G35" s="140">
        <v>0</v>
      </c>
      <c r="H35" s="73">
        <f>ROUND(F35*AC35,2)</f>
        <v>0</v>
      </c>
      <c r="I35" s="73">
        <f>ROUND(F35*AD35,2)</f>
        <v>0</v>
      </c>
      <c r="J35" s="87">
        <f>ROUND(F35*G35,2)</f>
        <v>0</v>
      </c>
      <c r="K35" s="40"/>
      <c r="L35" s="17" t="s">
        <v>3</v>
      </c>
      <c r="N35" s="16">
        <f>ROUND(IF(AE35="5",AX35,0),2)</f>
        <v>0</v>
      </c>
      <c r="P35" s="16">
        <f>ROUND(IF(AE35="1",AV35,0),2)</f>
        <v>0</v>
      </c>
      <c r="Q35" s="16">
        <f>ROUND(IF(AE35="1",AW35,0),2)</f>
        <v>0</v>
      </c>
      <c r="R35" s="16">
        <f>ROUND(IF(AE35="7",AV35,0),2)</f>
        <v>0</v>
      </c>
      <c r="S35" s="16">
        <f>ROUND(IF(AE35="7",AW35,0),2)</f>
        <v>0</v>
      </c>
      <c r="T35" s="16">
        <f>ROUND(IF(AE35="2",AV35,0),2)</f>
        <v>0</v>
      </c>
      <c r="U35" s="16">
        <f>ROUND(IF(AE35="2",AW35,0),2)</f>
        <v>0</v>
      </c>
      <c r="V35" s="16">
        <f>ROUND(IF(AE35="0",AX35,0),2)</f>
        <v>0</v>
      </c>
      <c r="W35" s="11" t="s">
        <v>3</v>
      </c>
      <c r="X35" s="16">
        <f>IF(AB35=0,J35,0)</f>
        <v>0</v>
      </c>
      <c r="Y35" s="16">
        <f>IF(AB35=12,J35,0)</f>
        <v>0</v>
      </c>
      <c r="Z35" s="16">
        <f>IF(AB35=21,J35,0)</f>
        <v>0</v>
      </c>
      <c r="AB35" s="16">
        <v>21</v>
      </c>
      <c r="AC35" s="16">
        <f>G35*1</f>
        <v>0</v>
      </c>
      <c r="AD35" s="16">
        <f>G35*(1-1)</f>
        <v>0</v>
      </c>
      <c r="AE35" s="18" t="s">
        <v>71</v>
      </c>
      <c r="AJ35" s="16">
        <f>ROUND(AK35+AL35,2)</f>
        <v>0</v>
      </c>
      <c r="AK35" s="16">
        <f>ROUND(F35*AC35,2)</f>
        <v>0</v>
      </c>
      <c r="AL35" s="16">
        <f>ROUND(F35*AD35,2)</f>
        <v>0</v>
      </c>
      <c r="AM35" s="18" t="s">
        <v>120</v>
      </c>
      <c r="AN35" s="18" t="s">
        <v>121</v>
      </c>
      <c r="AO35" s="11" t="s">
        <v>78</v>
      </c>
      <c r="AQ35" s="16">
        <f>AK35+AL35</f>
        <v>0</v>
      </c>
      <c r="AR35" s="16">
        <f>G35/(100-AS35)*100</f>
        <v>0</v>
      </c>
      <c r="AS35" s="16">
        <v>0</v>
      </c>
      <c r="AT35" s="16">
        <f>37</f>
        <v>37</v>
      </c>
      <c r="AV35" s="16">
        <f>F35*AC35</f>
        <v>0</v>
      </c>
      <c r="AW35" s="16">
        <f>F35*AD35</f>
        <v>0</v>
      </c>
      <c r="AX35" s="16">
        <f>F35*G35</f>
        <v>0</v>
      </c>
      <c r="AY35" s="18" t="s">
        <v>79</v>
      </c>
      <c r="AZ35" s="16">
        <v>31</v>
      </c>
    </row>
    <row r="36" spans="2:52" ht="27" customHeight="1" x14ac:dyDescent="0.25">
      <c r="B36" s="74"/>
      <c r="C36" s="75" t="s">
        <v>122</v>
      </c>
      <c r="D36" s="43" t="s">
        <v>141</v>
      </c>
      <c r="E36" s="43"/>
      <c r="F36" s="43"/>
      <c r="G36" s="141"/>
      <c r="H36" s="43"/>
      <c r="I36" s="43"/>
      <c r="J36" s="88"/>
      <c r="K36" s="43"/>
      <c r="L36" s="44"/>
    </row>
    <row r="37" spans="2:52" ht="25.5" customHeight="1" x14ac:dyDescent="0.25">
      <c r="B37" s="72" t="s">
        <v>142</v>
      </c>
      <c r="C37" s="21" t="s">
        <v>139</v>
      </c>
      <c r="D37" s="42" t="s">
        <v>143</v>
      </c>
      <c r="E37" s="21" t="s">
        <v>126</v>
      </c>
      <c r="F37" s="73">
        <v>1</v>
      </c>
      <c r="G37" s="140">
        <v>0</v>
      </c>
      <c r="H37" s="73">
        <f>ROUND(F37*AC37,2)</f>
        <v>0</v>
      </c>
      <c r="I37" s="73">
        <f>ROUND(F37*AD37,2)</f>
        <v>0</v>
      </c>
      <c r="J37" s="87">
        <f>ROUND(F37*G37,2)</f>
        <v>0</v>
      </c>
      <c r="K37" s="40"/>
      <c r="L37" s="17" t="s">
        <v>3</v>
      </c>
      <c r="N37" s="16">
        <f>ROUND(IF(AE37="5",AX37,0),2)</f>
        <v>0</v>
      </c>
      <c r="P37" s="16">
        <f>ROUND(IF(AE37="1",AV37,0),2)</f>
        <v>0</v>
      </c>
      <c r="Q37" s="16">
        <f>ROUND(IF(AE37="1",AW37,0),2)</f>
        <v>0</v>
      </c>
      <c r="R37" s="16">
        <f>ROUND(IF(AE37="7",AV37,0),2)</f>
        <v>0</v>
      </c>
      <c r="S37" s="16">
        <f>ROUND(IF(AE37="7",AW37,0),2)</f>
        <v>0</v>
      </c>
      <c r="T37" s="16">
        <f>ROUND(IF(AE37="2",AV37,0),2)</f>
        <v>0</v>
      </c>
      <c r="U37" s="16">
        <f>ROUND(IF(AE37="2",AW37,0),2)</f>
        <v>0</v>
      </c>
      <c r="V37" s="16">
        <f>ROUND(IF(AE37="0",AX37,0),2)</f>
        <v>0</v>
      </c>
      <c r="W37" s="11" t="s">
        <v>3</v>
      </c>
      <c r="X37" s="16">
        <f>IF(AB37=0,J37,0)</f>
        <v>0</v>
      </c>
      <c r="Y37" s="16">
        <f>IF(AB37=12,J37,0)</f>
        <v>0</v>
      </c>
      <c r="Z37" s="16">
        <f>IF(AB37=21,J37,0)</f>
        <v>0</v>
      </c>
      <c r="AB37" s="16">
        <v>21</v>
      </c>
      <c r="AC37" s="16">
        <f>G37*0.666924379</f>
        <v>0</v>
      </c>
      <c r="AD37" s="16">
        <f>G37*(1-0.666924379)</f>
        <v>0</v>
      </c>
      <c r="AE37" s="18" t="s">
        <v>71</v>
      </c>
      <c r="AJ37" s="16">
        <f>ROUND(AK37+AL37,2)</f>
        <v>0</v>
      </c>
      <c r="AK37" s="16">
        <f>ROUND(F37*AC37,2)</f>
        <v>0</v>
      </c>
      <c r="AL37" s="16">
        <f>ROUND(F37*AD37,2)</f>
        <v>0</v>
      </c>
      <c r="AM37" s="18" t="s">
        <v>120</v>
      </c>
      <c r="AN37" s="18" t="s">
        <v>121</v>
      </c>
      <c r="AO37" s="11" t="s">
        <v>78</v>
      </c>
      <c r="AQ37" s="16">
        <f>AK37+AL37</f>
        <v>0</v>
      </c>
      <c r="AR37" s="16">
        <f>G37/(100-AS37)*100</f>
        <v>0</v>
      </c>
      <c r="AS37" s="16">
        <v>0</v>
      </c>
      <c r="AT37" s="16">
        <f>39</f>
        <v>39</v>
      </c>
      <c r="AV37" s="16">
        <f>F37*AC37</f>
        <v>0</v>
      </c>
      <c r="AW37" s="16">
        <f>F37*AD37</f>
        <v>0</v>
      </c>
      <c r="AX37" s="16">
        <f>F37*G37</f>
        <v>0</v>
      </c>
      <c r="AY37" s="18" t="s">
        <v>79</v>
      </c>
      <c r="AZ37" s="16">
        <v>31</v>
      </c>
    </row>
    <row r="38" spans="2:52" ht="27" customHeight="1" x14ac:dyDescent="0.25">
      <c r="B38" s="74"/>
      <c r="C38" s="75" t="s">
        <v>122</v>
      </c>
      <c r="D38" s="43" t="s">
        <v>144</v>
      </c>
      <c r="E38" s="43"/>
      <c r="F38" s="43"/>
      <c r="G38" s="141"/>
      <c r="H38" s="43"/>
      <c r="I38" s="43"/>
      <c r="J38" s="88"/>
      <c r="K38" s="43"/>
      <c r="L38" s="44"/>
    </row>
    <row r="39" spans="2:52" ht="25.5" customHeight="1" x14ac:dyDescent="0.25">
      <c r="B39" s="72" t="s">
        <v>145</v>
      </c>
      <c r="C39" s="21" t="s">
        <v>146</v>
      </c>
      <c r="D39" s="42" t="s">
        <v>147</v>
      </c>
      <c r="E39" s="21" t="s">
        <v>126</v>
      </c>
      <c r="F39" s="73">
        <v>1</v>
      </c>
      <c r="G39" s="140">
        <v>0</v>
      </c>
      <c r="H39" s="73">
        <f>ROUND(F39*AC39,2)</f>
        <v>0</v>
      </c>
      <c r="I39" s="73">
        <f>ROUND(F39*AD39,2)</f>
        <v>0</v>
      </c>
      <c r="J39" s="87">
        <f>ROUND(F39*G39,2)</f>
        <v>0</v>
      </c>
      <c r="K39" s="40"/>
      <c r="L39" s="17" t="s">
        <v>3</v>
      </c>
      <c r="N39" s="16">
        <f>ROUND(IF(AE39="5",AX39,0),2)</f>
        <v>0</v>
      </c>
      <c r="P39" s="16">
        <f>ROUND(IF(AE39="1",AV39,0),2)</f>
        <v>0</v>
      </c>
      <c r="Q39" s="16">
        <f>ROUND(IF(AE39="1",AW39,0),2)</f>
        <v>0</v>
      </c>
      <c r="R39" s="16">
        <f>ROUND(IF(AE39="7",AV39,0),2)</f>
        <v>0</v>
      </c>
      <c r="S39" s="16">
        <f>ROUND(IF(AE39="7",AW39,0),2)</f>
        <v>0</v>
      </c>
      <c r="T39" s="16">
        <f>ROUND(IF(AE39="2",AV39,0),2)</f>
        <v>0</v>
      </c>
      <c r="U39" s="16">
        <f>ROUND(IF(AE39="2",AW39,0),2)</f>
        <v>0</v>
      </c>
      <c r="V39" s="16">
        <f>ROUND(IF(AE39="0",AX39,0),2)</f>
        <v>0</v>
      </c>
      <c r="W39" s="11" t="s">
        <v>3</v>
      </c>
      <c r="X39" s="16">
        <f>IF(AB39=0,J39,0)</f>
        <v>0</v>
      </c>
      <c r="Y39" s="16">
        <f>IF(AB39=12,J39,0)</f>
        <v>0</v>
      </c>
      <c r="Z39" s="16">
        <f>IF(AB39=21,J39,0)</f>
        <v>0</v>
      </c>
      <c r="AB39" s="16">
        <v>21</v>
      </c>
      <c r="AC39" s="16">
        <f>G39*1</f>
        <v>0</v>
      </c>
      <c r="AD39" s="16">
        <f>G39*(1-1)</f>
        <v>0</v>
      </c>
      <c r="AE39" s="18" t="s">
        <v>71</v>
      </c>
      <c r="AJ39" s="16">
        <f>ROUND(AK39+AL39,2)</f>
        <v>0</v>
      </c>
      <c r="AK39" s="16">
        <f>ROUND(F39*AC39,2)</f>
        <v>0</v>
      </c>
      <c r="AL39" s="16">
        <f>ROUND(F39*AD39,2)</f>
        <v>0</v>
      </c>
      <c r="AM39" s="18" t="s">
        <v>120</v>
      </c>
      <c r="AN39" s="18" t="s">
        <v>121</v>
      </c>
      <c r="AO39" s="11" t="s">
        <v>78</v>
      </c>
      <c r="AQ39" s="16">
        <f>AK39+AL39</f>
        <v>0</v>
      </c>
      <c r="AR39" s="16">
        <f>G39/(100-AS39)*100</f>
        <v>0</v>
      </c>
      <c r="AS39" s="16">
        <v>0</v>
      </c>
      <c r="AT39" s="16">
        <f>41</f>
        <v>41</v>
      </c>
      <c r="AV39" s="16">
        <f>F39*AC39</f>
        <v>0</v>
      </c>
      <c r="AW39" s="16">
        <f>F39*AD39</f>
        <v>0</v>
      </c>
      <c r="AX39" s="16">
        <f>F39*G39</f>
        <v>0</v>
      </c>
      <c r="AY39" s="18" t="s">
        <v>79</v>
      </c>
      <c r="AZ39" s="16">
        <v>31</v>
      </c>
    </row>
    <row r="40" spans="2:52" ht="40.5" customHeight="1" x14ac:dyDescent="0.25">
      <c r="B40" s="74"/>
      <c r="C40" s="75" t="s">
        <v>122</v>
      </c>
      <c r="D40" s="43" t="s">
        <v>148</v>
      </c>
      <c r="E40" s="43"/>
      <c r="F40" s="43"/>
      <c r="G40" s="141"/>
      <c r="H40" s="43"/>
      <c r="I40" s="43"/>
      <c r="J40" s="88"/>
      <c r="K40" s="43"/>
      <c r="L40" s="44"/>
    </row>
    <row r="41" spans="2:52" ht="25.5" customHeight="1" x14ac:dyDescent="0.25">
      <c r="B41" s="72" t="s">
        <v>149</v>
      </c>
      <c r="C41" s="21" t="s">
        <v>150</v>
      </c>
      <c r="D41" s="42" t="s">
        <v>151</v>
      </c>
      <c r="E41" s="21" t="s">
        <v>126</v>
      </c>
      <c r="F41" s="73">
        <v>1</v>
      </c>
      <c r="G41" s="140">
        <v>0</v>
      </c>
      <c r="H41" s="73">
        <f>ROUND(F41*AC41,2)</f>
        <v>0</v>
      </c>
      <c r="I41" s="73">
        <f>ROUND(F41*AD41,2)</f>
        <v>0</v>
      </c>
      <c r="J41" s="87">
        <f>ROUND(F41*G41,2)</f>
        <v>0</v>
      </c>
      <c r="K41" s="40"/>
      <c r="L41" s="17" t="s">
        <v>3</v>
      </c>
      <c r="N41" s="16">
        <f>ROUND(IF(AE41="5",AX41,0),2)</f>
        <v>0</v>
      </c>
      <c r="P41" s="16">
        <f>ROUND(IF(AE41="1",AV41,0),2)</f>
        <v>0</v>
      </c>
      <c r="Q41" s="16">
        <f>ROUND(IF(AE41="1",AW41,0),2)</f>
        <v>0</v>
      </c>
      <c r="R41" s="16">
        <f>ROUND(IF(AE41="7",AV41,0),2)</f>
        <v>0</v>
      </c>
      <c r="S41" s="16">
        <f>ROUND(IF(AE41="7",AW41,0),2)</f>
        <v>0</v>
      </c>
      <c r="T41" s="16">
        <f>ROUND(IF(AE41="2",AV41,0),2)</f>
        <v>0</v>
      </c>
      <c r="U41" s="16">
        <f>ROUND(IF(AE41="2",AW41,0),2)</f>
        <v>0</v>
      </c>
      <c r="V41" s="16">
        <f>ROUND(IF(AE41="0",AX41,0),2)</f>
        <v>0</v>
      </c>
      <c r="W41" s="11" t="s">
        <v>3</v>
      </c>
      <c r="X41" s="16">
        <f>IF(AB41=0,J41,0)</f>
        <v>0</v>
      </c>
      <c r="Y41" s="16">
        <f>IF(AB41=12,J41,0)</f>
        <v>0</v>
      </c>
      <c r="Z41" s="16">
        <f>IF(AB41=21,J41,0)</f>
        <v>0</v>
      </c>
      <c r="AB41" s="16">
        <v>21</v>
      </c>
      <c r="AC41" s="16">
        <f>G41*0.666922808</f>
        <v>0</v>
      </c>
      <c r="AD41" s="16">
        <f>G41*(1-0.666922808)</f>
        <v>0</v>
      </c>
      <c r="AE41" s="18" t="s">
        <v>71</v>
      </c>
      <c r="AJ41" s="16">
        <f>ROUND(AK41+AL41,2)</f>
        <v>0</v>
      </c>
      <c r="AK41" s="16">
        <f>ROUND(F41*AC41,2)</f>
        <v>0</v>
      </c>
      <c r="AL41" s="16">
        <f>ROUND(F41*AD41,2)</f>
        <v>0</v>
      </c>
      <c r="AM41" s="18" t="s">
        <v>120</v>
      </c>
      <c r="AN41" s="18" t="s">
        <v>121</v>
      </c>
      <c r="AO41" s="11" t="s">
        <v>78</v>
      </c>
      <c r="AQ41" s="16">
        <f>AK41+AL41</f>
        <v>0</v>
      </c>
      <c r="AR41" s="16">
        <f>G41/(100-AS41)*100</f>
        <v>0</v>
      </c>
      <c r="AS41" s="16">
        <v>0</v>
      </c>
      <c r="AT41" s="16">
        <f>43</f>
        <v>43</v>
      </c>
      <c r="AV41" s="16">
        <f>F41*AC41</f>
        <v>0</v>
      </c>
      <c r="AW41" s="16">
        <f>F41*AD41</f>
        <v>0</v>
      </c>
      <c r="AX41" s="16">
        <f>F41*G41</f>
        <v>0</v>
      </c>
      <c r="AY41" s="18" t="s">
        <v>79</v>
      </c>
      <c r="AZ41" s="16">
        <v>31</v>
      </c>
    </row>
    <row r="42" spans="2:52" ht="27" customHeight="1" x14ac:dyDescent="0.25">
      <c r="B42" s="74"/>
      <c r="C42" s="75" t="s">
        <v>122</v>
      </c>
      <c r="D42" s="43" t="s">
        <v>152</v>
      </c>
      <c r="E42" s="43"/>
      <c r="F42" s="43"/>
      <c r="G42" s="141"/>
      <c r="H42" s="43"/>
      <c r="I42" s="43"/>
      <c r="J42" s="88"/>
      <c r="K42" s="43"/>
      <c r="L42" s="44"/>
    </row>
    <row r="43" spans="2:52" ht="25.5" customHeight="1" x14ac:dyDescent="0.25">
      <c r="B43" s="72" t="s">
        <v>153</v>
      </c>
      <c r="C43" s="21" t="s">
        <v>154</v>
      </c>
      <c r="D43" s="42" t="s">
        <v>155</v>
      </c>
      <c r="E43" s="21" t="s">
        <v>126</v>
      </c>
      <c r="F43" s="73">
        <v>1</v>
      </c>
      <c r="G43" s="140">
        <v>0</v>
      </c>
      <c r="H43" s="73">
        <f>ROUND(F43*AC43,2)</f>
        <v>0</v>
      </c>
      <c r="I43" s="73">
        <f>ROUND(F43*AD43,2)</f>
        <v>0</v>
      </c>
      <c r="J43" s="87">
        <f>ROUND(F43*G43,2)</f>
        <v>0</v>
      </c>
      <c r="K43" s="40"/>
      <c r="L43" s="17" t="s">
        <v>3</v>
      </c>
      <c r="N43" s="16">
        <f>ROUND(IF(AE43="5",AX43,0),2)</f>
        <v>0</v>
      </c>
      <c r="P43" s="16">
        <f>ROUND(IF(AE43="1",AV43,0),2)</f>
        <v>0</v>
      </c>
      <c r="Q43" s="16">
        <f>ROUND(IF(AE43="1",AW43,0),2)</f>
        <v>0</v>
      </c>
      <c r="R43" s="16">
        <f>ROUND(IF(AE43="7",AV43,0),2)</f>
        <v>0</v>
      </c>
      <c r="S43" s="16">
        <f>ROUND(IF(AE43="7",AW43,0),2)</f>
        <v>0</v>
      </c>
      <c r="T43" s="16">
        <f>ROUND(IF(AE43="2",AV43,0),2)</f>
        <v>0</v>
      </c>
      <c r="U43" s="16">
        <f>ROUND(IF(AE43="2",AW43,0),2)</f>
        <v>0</v>
      </c>
      <c r="V43" s="16">
        <f>ROUND(IF(AE43="0",AX43,0),2)</f>
        <v>0</v>
      </c>
      <c r="W43" s="11" t="s">
        <v>3</v>
      </c>
      <c r="X43" s="16">
        <f>IF(AB43=0,J43,0)</f>
        <v>0</v>
      </c>
      <c r="Y43" s="16">
        <f>IF(AB43=12,J43,0)</f>
        <v>0</v>
      </c>
      <c r="Z43" s="16">
        <f>IF(AB43=21,J43,0)</f>
        <v>0</v>
      </c>
      <c r="AB43" s="16">
        <v>21</v>
      </c>
      <c r="AC43" s="16">
        <f>G43*0.666922859</f>
        <v>0</v>
      </c>
      <c r="AD43" s="16">
        <f>G43*(1-0.666922859)</f>
        <v>0</v>
      </c>
      <c r="AE43" s="18" t="s">
        <v>71</v>
      </c>
      <c r="AJ43" s="16">
        <f>ROUND(AK43+AL43,2)</f>
        <v>0</v>
      </c>
      <c r="AK43" s="16">
        <f>ROUND(F43*AC43,2)</f>
        <v>0</v>
      </c>
      <c r="AL43" s="16">
        <f>ROUND(F43*AD43,2)</f>
        <v>0</v>
      </c>
      <c r="AM43" s="18" t="s">
        <v>120</v>
      </c>
      <c r="AN43" s="18" t="s">
        <v>121</v>
      </c>
      <c r="AO43" s="11" t="s">
        <v>78</v>
      </c>
      <c r="AQ43" s="16">
        <f>AK43+AL43</f>
        <v>0</v>
      </c>
      <c r="AR43" s="16">
        <f>G43/(100-AS43)*100</f>
        <v>0</v>
      </c>
      <c r="AS43" s="16">
        <v>0</v>
      </c>
      <c r="AT43" s="16">
        <f>45</f>
        <v>45</v>
      </c>
      <c r="AV43" s="16">
        <f>F43*AC43</f>
        <v>0</v>
      </c>
      <c r="AW43" s="16">
        <f>F43*AD43</f>
        <v>0</v>
      </c>
      <c r="AX43" s="16">
        <f>F43*G43</f>
        <v>0</v>
      </c>
      <c r="AY43" s="18" t="s">
        <v>79</v>
      </c>
      <c r="AZ43" s="16">
        <v>31</v>
      </c>
    </row>
    <row r="44" spans="2:52" ht="27" customHeight="1" x14ac:dyDescent="0.25">
      <c r="B44" s="74"/>
      <c r="C44" s="75" t="s">
        <v>122</v>
      </c>
      <c r="D44" s="43" t="s">
        <v>156</v>
      </c>
      <c r="E44" s="43"/>
      <c r="F44" s="43"/>
      <c r="G44" s="141"/>
      <c r="H44" s="43"/>
      <c r="I44" s="43"/>
      <c r="J44" s="88"/>
      <c r="K44" s="43"/>
      <c r="L44" s="44"/>
    </row>
    <row r="45" spans="2:52" ht="25.5" customHeight="1" x14ac:dyDescent="0.25">
      <c r="B45" s="72" t="s">
        <v>157</v>
      </c>
      <c r="C45" s="21" t="s">
        <v>158</v>
      </c>
      <c r="D45" s="42" t="s">
        <v>159</v>
      </c>
      <c r="E45" s="21" t="s">
        <v>126</v>
      </c>
      <c r="F45" s="73">
        <v>1</v>
      </c>
      <c r="G45" s="140">
        <v>0</v>
      </c>
      <c r="H45" s="73">
        <f>ROUND(F45*AC45,2)</f>
        <v>0</v>
      </c>
      <c r="I45" s="73">
        <f>ROUND(F45*AD45,2)</f>
        <v>0</v>
      </c>
      <c r="J45" s="87">
        <f>ROUND(F45*G45,2)</f>
        <v>0</v>
      </c>
      <c r="K45" s="40"/>
      <c r="L45" s="17" t="s">
        <v>3</v>
      </c>
      <c r="N45" s="16">
        <f>ROUND(IF(AE45="5",AX45,0),2)</f>
        <v>0</v>
      </c>
      <c r="P45" s="16">
        <f>ROUND(IF(AE45="1",AV45,0),2)</f>
        <v>0</v>
      </c>
      <c r="Q45" s="16">
        <f>ROUND(IF(AE45="1",AW45,0),2)</f>
        <v>0</v>
      </c>
      <c r="R45" s="16">
        <f>ROUND(IF(AE45="7",AV45,0),2)</f>
        <v>0</v>
      </c>
      <c r="S45" s="16">
        <f>ROUND(IF(AE45="7",AW45,0),2)</f>
        <v>0</v>
      </c>
      <c r="T45" s="16">
        <f>ROUND(IF(AE45="2",AV45,0),2)</f>
        <v>0</v>
      </c>
      <c r="U45" s="16">
        <f>ROUND(IF(AE45="2",AW45,0),2)</f>
        <v>0</v>
      </c>
      <c r="V45" s="16">
        <f>ROUND(IF(AE45="0",AX45,0),2)</f>
        <v>0</v>
      </c>
      <c r="W45" s="11" t="s">
        <v>3</v>
      </c>
      <c r="X45" s="16">
        <f>IF(AB45=0,J45,0)</f>
        <v>0</v>
      </c>
      <c r="Y45" s="16">
        <f>IF(AB45=12,J45,0)</f>
        <v>0</v>
      </c>
      <c r="Z45" s="16">
        <f>IF(AB45=21,J45,0)</f>
        <v>0</v>
      </c>
      <c r="AB45" s="16">
        <v>21</v>
      </c>
      <c r="AC45" s="16">
        <f>G45*0.666922859</f>
        <v>0</v>
      </c>
      <c r="AD45" s="16">
        <f>G45*(1-0.666922859)</f>
        <v>0</v>
      </c>
      <c r="AE45" s="18" t="s">
        <v>71</v>
      </c>
      <c r="AJ45" s="16">
        <f>ROUND(AK45+AL45,2)</f>
        <v>0</v>
      </c>
      <c r="AK45" s="16">
        <f>ROUND(F45*AC45,2)</f>
        <v>0</v>
      </c>
      <c r="AL45" s="16">
        <f>ROUND(F45*AD45,2)</f>
        <v>0</v>
      </c>
      <c r="AM45" s="18" t="s">
        <v>120</v>
      </c>
      <c r="AN45" s="18" t="s">
        <v>121</v>
      </c>
      <c r="AO45" s="11" t="s">
        <v>78</v>
      </c>
      <c r="AQ45" s="16">
        <f>AK45+AL45</f>
        <v>0</v>
      </c>
      <c r="AR45" s="16">
        <f>G45/(100-AS45)*100</f>
        <v>0</v>
      </c>
      <c r="AS45" s="16">
        <v>0</v>
      </c>
      <c r="AT45" s="16">
        <f>47</f>
        <v>47</v>
      </c>
      <c r="AV45" s="16">
        <f>F45*AC45</f>
        <v>0</v>
      </c>
      <c r="AW45" s="16">
        <f>F45*AD45</f>
        <v>0</v>
      </c>
      <c r="AX45" s="16">
        <f>F45*G45</f>
        <v>0</v>
      </c>
      <c r="AY45" s="18" t="s">
        <v>79</v>
      </c>
      <c r="AZ45" s="16">
        <v>31</v>
      </c>
    </row>
    <row r="46" spans="2:52" ht="27" customHeight="1" x14ac:dyDescent="0.25">
      <c r="B46" s="74"/>
      <c r="C46" s="75" t="s">
        <v>122</v>
      </c>
      <c r="D46" s="43" t="s">
        <v>160</v>
      </c>
      <c r="E46" s="43"/>
      <c r="F46" s="43"/>
      <c r="G46" s="141"/>
      <c r="H46" s="43"/>
      <c r="I46" s="43"/>
      <c r="J46" s="88"/>
      <c r="K46" s="43"/>
      <c r="L46" s="44"/>
    </row>
    <row r="47" spans="2:52" ht="25.5" customHeight="1" x14ac:dyDescent="0.25">
      <c r="B47" s="72" t="s">
        <v>161</v>
      </c>
      <c r="C47" s="21" t="s">
        <v>158</v>
      </c>
      <c r="D47" s="42" t="s">
        <v>162</v>
      </c>
      <c r="E47" s="21" t="s">
        <v>126</v>
      </c>
      <c r="F47" s="73">
        <v>1</v>
      </c>
      <c r="G47" s="140">
        <v>0</v>
      </c>
      <c r="H47" s="73">
        <f>ROUND(F47*AC47,2)</f>
        <v>0</v>
      </c>
      <c r="I47" s="73">
        <f>ROUND(F47*AD47,2)</f>
        <v>0</v>
      </c>
      <c r="J47" s="87">
        <f>ROUND(F47*G47,2)</f>
        <v>0</v>
      </c>
      <c r="K47" s="40"/>
      <c r="L47" s="17" t="s">
        <v>3</v>
      </c>
      <c r="N47" s="16">
        <f>ROUND(IF(AE47="5",AX47,0),2)</f>
        <v>0</v>
      </c>
      <c r="P47" s="16">
        <f>ROUND(IF(AE47="1",AV47,0),2)</f>
        <v>0</v>
      </c>
      <c r="Q47" s="16">
        <f>ROUND(IF(AE47="1",AW47,0),2)</f>
        <v>0</v>
      </c>
      <c r="R47" s="16">
        <f>ROUND(IF(AE47="7",AV47,0),2)</f>
        <v>0</v>
      </c>
      <c r="S47" s="16">
        <f>ROUND(IF(AE47="7",AW47,0),2)</f>
        <v>0</v>
      </c>
      <c r="T47" s="16">
        <f>ROUND(IF(AE47="2",AV47,0),2)</f>
        <v>0</v>
      </c>
      <c r="U47" s="16">
        <f>ROUND(IF(AE47="2",AW47,0),2)</f>
        <v>0</v>
      </c>
      <c r="V47" s="16">
        <f>ROUND(IF(AE47="0",AX47,0),2)</f>
        <v>0</v>
      </c>
      <c r="W47" s="11" t="s">
        <v>3</v>
      </c>
      <c r="X47" s="16">
        <f>IF(AB47=0,J47,0)</f>
        <v>0</v>
      </c>
      <c r="Y47" s="16">
        <f>IF(AB47=12,J47,0)</f>
        <v>0</v>
      </c>
      <c r="Z47" s="16">
        <f>IF(AB47=21,J47,0)</f>
        <v>0</v>
      </c>
      <c r="AB47" s="16">
        <v>21</v>
      </c>
      <c r="AC47" s="16">
        <f>G47*0.666922859</f>
        <v>0</v>
      </c>
      <c r="AD47" s="16">
        <f>G47*(1-0.666922859)</f>
        <v>0</v>
      </c>
      <c r="AE47" s="18" t="s">
        <v>71</v>
      </c>
      <c r="AJ47" s="16">
        <f>ROUND(AK47+AL47,2)</f>
        <v>0</v>
      </c>
      <c r="AK47" s="16">
        <f>ROUND(F47*AC47,2)</f>
        <v>0</v>
      </c>
      <c r="AL47" s="16">
        <f>ROUND(F47*AD47,2)</f>
        <v>0</v>
      </c>
      <c r="AM47" s="18" t="s">
        <v>120</v>
      </c>
      <c r="AN47" s="18" t="s">
        <v>121</v>
      </c>
      <c r="AO47" s="11" t="s">
        <v>78</v>
      </c>
      <c r="AQ47" s="16">
        <f>AK47+AL47</f>
        <v>0</v>
      </c>
      <c r="AR47" s="16">
        <f>G47/(100-AS47)*100</f>
        <v>0</v>
      </c>
      <c r="AS47" s="16">
        <v>0</v>
      </c>
      <c r="AT47" s="16">
        <f>49</f>
        <v>49</v>
      </c>
      <c r="AV47" s="16">
        <f>F47*AC47</f>
        <v>0</v>
      </c>
      <c r="AW47" s="16">
        <f>F47*AD47</f>
        <v>0</v>
      </c>
      <c r="AX47" s="16">
        <f>F47*G47</f>
        <v>0</v>
      </c>
      <c r="AY47" s="18" t="s">
        <v>79</v>
      </c>
      <c r="AZ47" s="16">
        <v>31</v>
      </c>
    </row>
    <row r="48" spans="2:52" ht="27" customHeight="1" x14ac:dyDescent="0.25">
      <c r="B48" s="74"/>
      <c r="C48" s="75" t="s">
        <v>122</v>
      </c>
      <c r="D48" s="43" t="s">
        <v>163</v>
      </c>
      <c r="E48" s="43"/>
      <c r="F48" s="43"/>
      <c r="G48" s="141"/>
      <c r="H48" s="43"/>
      <c r="I48" s="43"/>
      <c r="J48" s="88"/>
      <c r="K48" s="43"/>
      <c r="L48" s="44"/>
    </row>
    <row r="49" spans="2:52" ht="25.5" customHeight="1" x14ac:dyDescent="0.25">
      <c r="B49" s="72" t="s">
        <v>164</v>
      </c>
      <c r="C49" s="21" t="s">
        <v>165</v>
      </c>
      <c r="D49" s="42" t="s">
        <v>166</v>
      </c>
      <c r="E49" s="21" t="s">
        <v>126</v>
      </c>
      <c r="F49" s="73">
        <v>1</v>
      </c>
      <c r="G49" s="140">
        <v>0</v>
      </c>
      <c r="H49" s="73">
        <f>ROUND(F49*AC49,2)</f>
        <v>0</v>
      </c>
      <c r="I49" s="73">
        <f>ROUND(F49*AD49,2)</f>
        <v>0</v>
      </c>
      <c r="J49" s="87">
        <f>ROUND(F49*G49,2)</f>
        <v>0</v>
      </c>
      <c r="K49" s="40"/>
      <c r="L49" s="17" t="s">
        <v>3</v>
      </c>
      <c r="N49" s="16">
        <f>ROUND(IF(AE49="5",AX49,0),2)</f>
        <v>0</v>
      </c>
      <c r="P49" s="16">
        <f>ROUND(IF(AE49="1",AV49,0),2)</f>
        <v>0</v>
      </c>
      <c r="Q49" s="16">
        <f>ROUND(IF(AE49="1",AW49,0),2)</f>
        <v>0</v>
      </c>
      <c r="R49" s="16">
        <f>ROUND(IF(AE49="7",AV49,0),2)</f>
        <v>0</v>
      </c>
      <c r="S49" s="16">
        <f>ROUND(IF(AE49="7",AW49,0),2)</f>
        <v>0</v>
      </c>
      <c r="T49" s="16">
        <f>ROUND(IF(AE49="2",AV49,0),2)</f>
        <v>0</v>
      </c>
      <c r="U49" s="16">
        <f>ROUND(IF(AE49="2",AW49,0),2)</f>
        <v>0</v>
      </c>
      <c r="V49" s="16">
        <f>ROUND(IF(AE49="0",AX49,0),2)</f>
        <v>0</v>
      </c>
      <c r="W49" s="11" t="s">
        <v>3</v>
      </c>
      <c r="X49" s="16">
        <f>IF(AB49=0,J49,0)</f>
        <v>0</v>
      </c>
      <c r="Y49" s="16">
        <f>IF(AB49=12,J49,0)</f>
        <v>0</v>
      </c>
      <c r="Z49" s="16">
        <f>IF(AB49=21,J49,0)</f>
        <v>0</v>
      </c>
      <c r="AB49" s="16">
        <v>21</v>
      </c>
      <c r="AC49" s="16">
        <f>G49*0.666922935</f>
        <v>0</v>
      </c>
      <c r="AD49" s="16">
        <f>G49*(1-0.666922935)</f>
        <v>0</v>
      </c>
      <c r="AE49" s="18" t="s">
        <v>71</v>
      </c>
      <c r="AJ49" s="16">
        <f>ROUND(AK49+AL49,2)</f>
        <v>0</v>
      </c>
      <c r="AK49" s="16">
        <f>ROUND(F49*AC49,2)</f>
        <v>0</v>
      </c>
      <c r="AL49" s="16">
        <f>ROUND(F49*AD49,2)</f>
        <v>0</v>
      </c>
      <c r="AM49" s="18" t="s">
        <v>120</v>
      </c>
      <c r="AN49" s="18" t="s">
        <v>121</v>
      </c>
      <c r="AO49" s="11" t="s">
        <v>78</v>
      </c>
      <c r="AQ49" s="16">
        <f>AK49+AL49</f>
        <v>0</v>
      </c>
      <c r="AR49" s="16">
        <f>G49/(100-AS49)*100</f>
        <v>0</v>
      </c>
      <c r="AS49" s="16">
        <v>0</v>
      </c>
      <c r="AT49" s="16">
        <f>51</f>
        <v>51</v>
      </c>
      <c r="AV49" s="16">
        <f>F49*AC49</f>
        <v>0</v>
      </c>
      <c r="AW49" s="16">
        <f>F49*AD49</f>
        <v>0</v>
      </c>
      <c r="AX49" s="16">
        <f>F49*G49</f>
        <v>0</v>
      </c>
      <c r="AY49" s="18" t="s">
        <v>79</v>
      </c>
      <c r="AZ49" s="16">
        <v>31</v>
      </c>
    </row>
    <row r="50" spans="2:52" ht="40.5" customHeight="1" x14ac:dyDescent="0.25">
      <c r="B50" s="74"/>
      <c r="C50" s="75" t="s">
        <v>122</v>
      </c>
      <c r="D50" s="43" t="s">
        <v>167</v>
      </c>
      <c r="E50" s="43"/>
      <c r="F50" s="43"/>
      <c r="G50" s="141"/>
      <c r="H50" s="43"/>
      <c r="I50" s="43"/>
      <c r="J50" s="88"/>
      <c r="K50" s="43"/>
      <c r="L50" s="44"/>
    </row>
    <row r="51" spans="2:52" x14ac:dyDescent="0.25">
      <c r="B51" s="72" t="s">
        <v>168</v>
      </c>
      <c r="C51" s="21" t="s">
        <v>169</v>
      </c>
      <c r="D51" s="42" t="s">
        <v>170</v>
      </c>
      <c r="E51" s="21" t="s">
        <v>171</v>
      </c>
      <c r="F51" s="73">
        <v>11</v>
      </c>
      <c r="G51" s="140">
        <v>0</v>
      </c>
      <c r="H51" s="73">
        <f>ROUND(F51*AC51,2)</f>
        <v>0</v>
      </c>
      <c r="I51" s="73">
        <f>ROUND(F51*AD51,2)</f>
        <v>0</v>
      </c>
      <c r="J51" s="87">
        <f>ROUND(F51*G51,2)</f>
        <v>0</v>
      </c>
      <c r="K51" s="40"/>
      <c r="L51" s="17" t="s">
        <v>95</v>
      </c>
      <c r="N51" s="16">
        <f>ROUND(IF(AE51="5",AX51,0),2)</f>
        <v>0</v>
      </c>
      <c r="P51" s="16">
        <f>ROUND(IF(AE51="1",AV51,0),2)</f>
        <v>0</v>
      </c>
      <c r="Q51" s="16">
        <f>ROUND(IF(AE51="1",AW51,0),2)</f>
        <v>0</v>
      </c>
      <c r="R51" s="16">
        <f>ROUND(IF(AE51="7",AV51,0),2)</f>
        <v>0</v>
      </c>
      <c r="S51" s="16">
        <f>ROUND(IF(AE51="7",AW51,0),2)</f>
        <v>0</v>
      </c>
      <c r="T51" s="16">
        <f>ROUND(IF(AE51="2",AV51,0),2)</f>
        <v>0</v>
      </c>
      <c r="U51" s="16">
        <f>ROUND(IF(AE51="2",AW51,0),2)</f>
        <v>0</v>
      </c>
      <c r="V51" s="16">
        <f>ROUND(IF(AE51="0",AX51,0),2)</f>
        <v>0</v>
      </c>
      <c r="W51" s="11" t="s">
        <v>3</v>
      </c>
      <c r="X51" s="16">
        <f>IF(AB51=0,J51,0)</f>
        <v>0</v>
      </c>
      <c r="Y51" s="16">
        <f>IF(AB51=12,J51,0)</f>
        <v>0</v>
      </c>
      <c r="Z51" s="16">
        <f>IF(AB51=21,J51,0)</f>
        <v>0</v>
      </c>
      <c r="AB51" s="16">
        <v>21</v>
      </c>
      <c r="AC51" s="16">
        <f>G51*0</f>
        <v>0</v>
      </c>
      <c r="AD51" s="16">
        <f>G51*(1-0)</f>
        <v>0</v>
      </c>
      <c r="AE51" s="18" t="s">
        <v>71</v>
      </c>
      <c r="AJ51" s="16">
        <f>ROUND(AK51+AL51,2)</f>
        <v>0</v>
      </c>
      <c r="AK51" s="16">
        <f>ROUND(F51*AC51,2)</f>
        <v>0</v>
      </c>
      <c r="AL51" s="16">
        <f>ROUND(F51*AD51,2)</f>
        <v>0</v>
      </c>
      <c r="AM51" s="18" t="s">
        <v>120</v>
      </c>
      <c r="AN51" s="18" t="s">
        <v>121</v>
      </c>
      <c r="AO51" s="11" t="s">
        <v>78</v>
      </c>
      <c r="AQ51" s="16">
        <f>AK51+AL51</f>
        <v>0</v>
      </c>
      <c r="AR51" s="16">
        <f>G51/(100-AS51)*100</f>
        <v>0</v>
      </c>
      <c r="AS51" s="16">
        <v>0</v>
      </c>
      <c r="AT51" s="16">
        <f>53</f>
        <v>53</v>
      </c>
      <c r="AV51" s="16">
        <f>F51*AC51</f>
        <v>0</v>
      </c>
      <c r="AW51" s="16">
        <f>F51*AD51</f>
        <v>0</v>
      </c>
      <c r="AX51" s="16">
        <f>F51*G51</f>
        <v>0</v>
      </c>
      <c r="AY51" s="18" t="s">
        <v>79</v>
      </c>
      <c r="AZ51" s="16">
        <v>31</v>
      </c>
    </row>
    <row r="52" spans="2:52" x14ac:dyDescent="0.25">
      <c r="B52" s="72" t="s">
        <v>172</v>
      </c>
      <c r="C52" s="21" t="s">
        <v>173</v>
      </c>
      <c r="D52" s="42" t="s">
        <v>174</v>
      </c>
      <c r="E52" s="21" t="s">
        <v>284</v>
      </c>
      <c r="F52" s="73">
        <v>1</v>
      </c>
      <c r="G52" s="140">
        <v>0</v>
      </c>
      <c r="H52" s="73">
        <f>ROUND(F52*AC52,2)</f>
        <v>0</v>
      </c>
      <c r="I52" s="73">
        <f>ROUND(F52*AD52,2)</f>
        <v>0</v>
      </c>
      <c r="J52" s="87">
        <f>ROUND(F52*G52,2)</f>
        <v>0</v>
      </c>
      <c r="K52" s="40"/>
      <c r="L52" s="17" t="s">
        <v>3</v>
      </c>
      <c r="N52" s="16">
        <f>ROUND(IF(AE52="5",AX52,0),2)</f>
        <v>0</v>
      </c>
      <c r="P52" s="16">
        <f>ROUND(IF(AE52="1",AV52,0),2)</f>
        <v>0</v>
      </c>
      <c r="Q52" s="16">
        <f>ROUND(IF(AE52="1",AW52,0),2)</f>
        <v>0</v>
      </c>
      <c r="R52" s="16">
        <f>ROUND(IF(AE52="7",AV52,0),2)</f>
        <v>0</v>
      </c>
      <c r="S52" s="16">
        <f>ROUND(IF(AE52="7",AW52,0),2)</f>
        <v>0</v>
      </c>
      <c r="T52" s="16">
        <f>ROUND(IF(AE52="2",AV52,0),2)</f>
        <v>0</v>
      </c>
      <c r="U52" s="16">
        <f>ROUND(IF(AE52="2",AW52,0),2)</f>
        <v>0</v>
      </c>
      <c r="V52" s="16">
        <f>ROUND(IF(AE52="0",AX52,0),2)</f>
        <v>0</v>
      </c>
      <c r="W52" s="11" t="s">
        <v>3</v>
      </c>
      <c r="X52" s="16">
        <f>IF(AB52=0,J52,0)</f>
        <v>0</v>
      </c>
      <c r="Y52" s="16">
        <f>IF(AB52=12,J52,0)</f>
        <v>0</v>
      </c>
      <c r="Z52" s="16">
        <f>IF(AB52=21,J52,0)</f>
        <v>0</v>
      </c>
      <c r="AB52" s="16">
        <v>21</v>
      </c>
      <c r="AC52" s="16">
        <f>G52*0.297700089</f>
        <v>0</v>
      </c>
      <c r="AD52" s="16">
        <f>G52*(1-0.297700089)</f>
        <v>0</v>
      </c>
      <c r="AE52" s="18" t="s">
        <v>71</v>
      </c>
      <c r="AJ52" s="16">
        <f>ROUND(AK52+AL52,2)</f>
        <v>0</v>
      </c>
      <c r="AK52" s="16">
        <f>ROUND(F52*AC52,2)</f>
        <v>0</v>
      </c>
      <c r="AL52" s="16">
        <f>ROUND(F52*AD52,2)</f>
        <v>0</v>
      </c>
      <c r="AM52" s="18" t="s">
        <v>120</v>
      </c>
      <c r="AN52" s="18" t="s">
        <v>121</v>
      </c>
      <c r="AO52" s="11" t="s">
        <v>78</v>
      </c>
      <c r="AQ52" s="16">
        <f>AK52+AL52</f>
        <v>0</v>
      </c>
      <c r="AR52" s="16">
        <f>G52/(100-AS52)*100</f>
        <v>0</v>
      </c>
      <c r="AS52" s="16">
        <v>0</v>
      </c>
      <c r="AT52" s="16">
        <f>54</f>
        <v>54</v>
      </c>
      <c r="AV52" s="16">
        <f>F52*AC52</f>
        <v>0</v>
      </c>
      <c r="AW52" s="16">
        <f>F52*AD52</f>
        <v>0</v>
      </c>
      <c r="AX52" s="16">
        <f>F52*G52</f>
        <v>0</v>
      </c>
      <c r="AY52" s="18" t="s">
        <v>79</v>
      </c>
      <c r="AZ52" s="16">
        <v>31</v>
      </c>
    </row>
    <row r="53" spans="2:52" x14ac:dyDescent="0.25">
      <c r="B53" s="72"/>
      <c r="C53" s="21"/>
      <c r="D53" s="93" t="s">
        <v>306</v>
      </c>
      <c r="E53" s="21"/>
      <c r="F53" s="73"/>
      <c r="G53" s="140"/>
      <c r="H53" s="73"/>
      <c r="I53" s="73"/>
      <c r="J53" s="87"/>
      <c r="K53" s="40"/>
      <c r="L53" s="92"/>
      <c r="N53" s="16"/>
      <c r="P53" s="16"/>
      <c r="Q53" s="16"/>
      <c r="R53" s="16"/>
      <c r="S53" s="16"/>
      <c r="T53" s="16"/>
      <c r="U53" s="16"/>
      <c r="V53" s="16"/>
      <c r="W53" s="11"/>
      <c r="X53" s="16"/>
      <c r="Y53" s="16"/>
      <c r="Z53" s="16"/>
      <c r="AB53" s="16"/>
      <c r="AC53" s="16"/>
      <c r="AD53" s="16"/>
      <c r="AE53" s="18"/>
      <c r="AJ53" s="16"/>
      <c r="AK53" s="16"/>
      <c r="AL53" s="16"/>
      <c r="AM53" s="18"/>
      <c r="AN53" s="18"/>
      <c r="AO53" s="11"/>
      <c r="AQ53" s="16"/>
      <c r="AR53" s="16"/>
      <c r="AS53" s="16"/>
      <c r="AT53" s="16"/>
      <c r="AV53" s="16"/>
      <c r="AW53" s="16"/>
      <c r="AX53" s="16"/>
      <c r="AY53" s="18"/>
      <c r="AZ53" s="16"/>
    </row>
    <row r="54" spans="2:52" ht="15" customHeight="1" x14ac:dyDescent="0.25">
      <c r="B54" s="72" t="s">
        <v>175</v>
      </c>
      <c r="C54" s="21" t="s">
        <v>176</v>
      </c>
      <c r="D54" s="42" t="s">
        <v>177</v>
      </c>
      <c r="E54" s="21" t="s">
        <v>119</v>
      </c>
      <c r="F54" s="73">
        <v>1</v>
      </c>
      <c r="G54" s="140">
        <v>0</v>
      </c>
      <c r="H54" s="73">
        <f>ROUND(F54*AC54,2)</f>
        <v>0</v>
      </c>
      <c r="I54" s="73">
        <f>ROUND(F54*AD54,2)</f>
        <v>0</v>
      </c>
      <c r="J54" s="87">
        <f>ROUND(F54*G54,2)</f>
        <v>0</v>
      </c>
      <c r="K54" s="40"/>
      <c r="L54" s="17" t="s">
        <v>3</v>
      </c>
      <c r="N54" s="16">
        <f>ROUND(IF(AE54="5",AX54,0),2)</f>
        <v>0</v>
      </c>
      <c r="P54" s="16">
        <f>ROUND(IF(AE54="1",AV54,0),2)</f>
        <v>0</v>
      </c>
      <c r="Q54" s="16">
        <f>ROUND(IF(AE54="1",AW54,0),2)</f>
        <v>0</v>
      </c>
      <c r="R54" s="16">
        <f>ROUND(IF(AE54="7",AV54,0),2)</f>
        <v>0</v>
      </c>
      <c r="S54" s="16">
        <f>ROUND(IF(AE54="7",AW54,0),2)</f>
        <v>0</v>
      </c>
      <c r="T54" s="16">
        <f>ROUND(IF(AE54="2",AV54,0),2)</f>
        <v>0</v>
      </c>
      <c r="U54" s="16">
        <f>ROUND(IF(AE54="2",AW54,0),2)</f>
        <v>0</v>
      </c>
      <c r="V54" s="16">
        <f>ROUND(IF(AE54="0",AX54,0),2)</f>
        <v>0</v>
      </c>
      <c r="W54" s="11" t="s">
        <v>3</v>
      </c>
      <c r="X54" s="16">
        <f>IF(AB54=0,J54,0)</f>
        <v>0</v>
      </c>
      <c r="Y54" s="16">
        <f>IF(AB54=12,J54,0)</f>
        <v>0</v>
      </c>
      <c r="Z54" s="16">
        <f>IF(AB54=21,J54,0)</f>
        <v>0</v>
      </c>
      <c r="AB54" s="16">
        <v>21</v>
      </c>
      <c r="AC54" s="16">
        <f>G54*1</f>
        <v>0</v>
      </c>
      <c r="AD54" s="16">
        <f>G54*(1-1)</f>
        <v>0</v>
      </c>
      <c r="AE54" s="18" t="s">
        <v>71</v>
      </c>
      <c r="AJ54" s="16">
        <f>ROUND(AK54+AL54,2)</f>
        <v>0</v>
      </c>
      <c r="AK54" s="16">
        <f>ROUND(F54*AC54,2)</f>
        <v>0</v>
      </c>
      <c r="AL54" s="16">
        <f>ROUND(F54*AD54,2)</f>
        <v>0</v>
      </c>
      <c r="AM54" s="18" t="s">
        <v>120</v>
      </c>
      <c r="AN54" s="18" t="s">
        <v>121</v>
      </c>
      <c r="AO54" s="11" t="s">
        <v>78</v>
      </c>
      <c r="AQ54" s="16">
        <f>AK54+AL54</f>
        <v>0</v>
      </c>
      <c r="AR54" s="16">
        <f>G54/(100-AS54)*100</f>
        <v>0</v>
      </c>
      <c r="AS54" s="16">
        <v>0</v>
      </c>
      <c r="AT54" s="16">
        <f>55</f>
        <v>55</v>
      </c>
      <c r="AV54" s="16">
        <f>F54*AC54</f>
        <v>0</v>
      </c>
      <c r="AW54" s="16">
        <f>F54*AD54</f>
        <v>0</v>
      </c>
      <c r="AX54" s="16">
        <f>F54*G54</f>
        <v>0</v>
      </c>
      <c r="AY54" s="18" t="s">
        <v>96</v>
      </c>
      <c r="AZ54" s="16">
        <v>31</v>
      </c>
    </row>
    <row r="55" spans="2:52" x14ac:dyDescent="0.25">
      <c r="B55" s="76" t="s">
        <v>3</v>
      </c>
      <c r="C55" s="45" t="s">
        <v>178</v>
      </c>
      <c r="D55" s="46" t="s">
        <v>179</v>
      </c>
      <c r="E55" s="47" t="s">
        <v>40</v>
      </c>
      <c r="F55" s="47" t="s">
        <v>40</v>
      </c>
      <c r="G55" s="142" t="s">
        <v>40</v>
      </c>
      <c r="H55" s="33">
        <f>SUM(H56:H69)</f>
        <v>0</v>
      </c>
      <c r="I55" s="33">
        <f>SUM(I56:I69)</f>
        <v>0</v>
      </c>
      <c r="J55" s="77">
        <f>SUM(J56:J69)</f>
        <v>0</v>
      </c>
      <c r="K55" s="36"/>
      <c r="L55" s="15" t="s">
        <v>3</v>
      </c>
      <c r="W55" s="11" t="s">
        <v>3</v>
      </c>
      <c r="AG55" s="9">
        <f>SUM(X56:X69)</f>
        <v>0</v>
      </c>
      <c r="AH55" s="9">
        <f>SUM(Y56:Y69)</f>
        <v>0</v>
      </c>
      <c r="AI55" s="9">
        <f>SUM(Z56:Z69)</f>
        <v>0</v>
      </c>
    </row>
    <row r="56" spans="2:52" x14ac:dyDescent="0.25">
      <c r="B56" s="72" t="s">
        <v>180</v>
      </c>
      <c r="C56" s="21" t="s">
        <v>181</v>
      </c>
      <c r="D56" s="42" t="s">
        <v>182</v>
      </c>
      <c r="E56" s="21" t="s">
        <v>171</v>
      </c>
      <c r="F56" s="73">
        <v>4</v>
      </c>
      <c r="G56" s="140">
        <v>0</v>
      </c>
      <c r="H56" s="73">
        <f>ROUND(F56*AC56,2)</f>
        <v>0</v>
      </c>
      <c r="I56" s="73">
        <f>ROUND(F56*AD56,2)</f>
        <v>0</v>
      </c>
      <c r="J56" s="87">
        <f>ROUND(F56*G56,2)</f>
        <v>0</v>
      </c>
      <c r="K56" s="40"/>
      <c r="L56" s="17" t="s">
        <v>3</v>
      </c>
      <c r="N56" s="16">
        <f>ROUND(IF(AE56="5",AX56,0),2)</f>
        <v>0</v>
      </c>
      <c r="P56" s="16">
        <f>ROUND(IF(AE56="1",AV56,0),2)</f>
        <v>0</v>
      </c>
      <c r="Q56" s="16">
        <f>ROUND(IF(AE56="1",AW56,0),2)</f>
        <v>0</v>
      </c>
      <c r="R56" s="16">
        <f>ROUND(IF(AE56="7",AV56,0),2)</f>
        <v>0</v>
      </c>
      <c r="S56" s="16">
        <f>ROUND(IF(AE56="7",AW56,0),2)</f>
        <v>0</v>
      </c>
      <c r="T56" s="16">
        <f>ROUND(IF(AE56="2",AV56,0),2)</f>
        <v>0</v>
      </c>
      <c r="U56" s="16">
        <f>ROUND(IF(AE56="2",AW56,0),2)</f>
        <v>0</v>
      </c>
      <c r="V56" s="16">
        <f>ROUND(IF(AE56="0",AX56,0),2)</f>
        <v>0</v>
      </c>
      <c r="W56" s="11" t="s">
        <v>3</v>
      </c>
      <c r="X56" s="16">
        <f>IF(AB56=0,J56,0)</f>
        <v>0</v>
      </c>
      <c r="Y56" s="16">
        <f>IF(AB56=12,J56,0)</f>
        <v>0</v>
      </c>
      <c r="Z56" s="16">
        <f>IF(AB56=21,J56,0)</f>
        <v>0</v>
      </c>
      <c r="AB56" s="16">
        <v>21</v>
      </c>
      <c r="AC56" s="16">
        <f>G56*1</f>
        <v>0</v>
      </c>
      <c r="AD56" s="16">
        <f>G56*(1-1)</f>
        <v>0</v>
      </c>
      <c r="AE56" s="18" t="s">
        <v>71</v>
      </c>
      <c r="AJ56" s="16">
        <f>ROUND(AK56+AL56,2)</f>
        <v>0</v>
      </c>
      <c r="AK56" s="16">
        <f>ROUND(F56*AC56,2)</f>
        <v>0</v>
      </c>
      <c r="AL56" s="16">
        <f>ROUND(F56*AD56,2)</f>
        <v>0</v>
      </c>
      <c r="AM56" s="18" t="s">
        <v>183</v>
      </c>
      <c r="AN56" s="18" t="s">
        <v>184</v>
      </c>
      <c r="AO56" s="11" t="s">
        <v>78</v>
      </c>
      <c r="AQ56" s="16">
        <f>AK56+AL56</f>
        <v>0</v>
      </c>
      <c r="AR56" s="16">
        <f>G56/(100-AS56)*100</f>
        <v>0</v>
      </c>
      <c r="AS56" s="16">
        <v>0</v>
      </c>
      <c r="AT56" s="16">
        <f>57</f>
        <v>57</v>
      </c>
      <c r="AV56" s="16">
        <f>F56*AC56</f>
        <v>0</v>
      </c>
      <c r="AW56" s="16">
        <f>F56*AD56</f>
        <v>0</v>
      </c>
      <c r="AX56" s="16">
        <f>F56*G56</f>
        <v>0</v>
      </c>
      <c r="AY56" s="18" t="s">
        <v>96</v>
      </c>
      <c r="AZ56" s="16">
        <v>0</v>
      </c>
    </row>
    <row r="57" spans="2:52" x14ac:dyDescent="0.25">
      <c r="B57" s="72" t="s">
        <v>185</v>
      </c>
      <c r="C57" s="21" t="s">
        <v>186</v>
      </c>
      <c r="D57" s="42" t="s">
        <v>187</v>
      </c>
      <c r="E57" s="21" t="s">
        <v>171</v>
      </c>
      <c r="F57" s="73">
        <v>4</v>
      </c>
      <c r="G57" s="140">
        <v>0</v>
      </c>
      <c r="H57" s="73">
        <f>ROUND(F57*AC57,2)</f>
        <v>0</v>
      </c>
      <c r="I57" s="73">
        <f>ROUND(F57*AD57,2)</f>
        <v>0</v>
      </c>
      <c r="J57" s="87">
        <f>ROUND(F57*G57,2)</f>
        <v>0</v>
      </c>
      <c r="K57" s="40"/>
      <c r="L57" s="17" t="s">
        <v>95</v>
      </c>
      <c r="N57" s="16">
        <f>ROUND(IF(AE57="5",AX57,0),2)</f>
        <v>0</v>
      </c>
      <c r="P57" s="16">
        <f>ROUND(IF(AE57="1",AV57,0),2)</f>
        <v>0</v>
      </c>
      <c r="Q57" s="16">
        <f>ROUND(IF(AE57="1",AW57,0),2)</f>
        <v>0</v>
      </c>
      <c r="R57" s="16">
        <f>ROUND(IF(AE57="7",AV57,0),2)</f>
        <v>0</v>
      </c>
      <c r="S57" s="16">
        <f>ROUND(IF(AE57="7",AW57,0),2)</f>
        <v>0</v>
      </c>
      <c r="T57" s="16">
        <f>ROUND(IF(AE57="2",AV57,0),2)</f>
        <v>0</v>
      </c>
      <c r="U57" s="16">
        <f>ROUND(IF(AE57="2",AW57,0),2)</f>
        <v>0</v>
      </c>
      <c r="V57" s="16">
        <f>ROUND(IF(AE57="0",AX57,0),2)</f>
        <v>0</v>
      </c>
      <c r="W57" s="11" t="s">
        <v>3</v>
      </c>
      <c r="X57" s="16">
        <f>IF(AB57=0,J57,0)</f>
        <v>0</v>
      </c>
      <c r="Y57" s="16">
        <f>IF(AB57=12,J57,0)</f>
        <v>0</v>
      </c>
      <c r="Z57" s="16">
        <f>IF(AB57=21,J57,0)</f>
        <v>0</v>
      </c>
      <c r="AB57" s="16">
        <v>21</v>
      </c>
      <c r="AC57" s="16">
        <f>G57*0</f>
        <v>0</v>
      </c>
      <c r="AD57" s="16">
        <f>G57*(1-0)</f>
        <v>0</v>
      </c>
      <c r="AE57" s="18" t="s">
        <v>71</v>
      </c>
      <c r="AJ57" s="16">
        <f>ROUND(AK57+AL57,2)</f>
        <v>0</v>
      </c>
      <c r="AK57" s="16">
        <f>ROUND(F57*AC57,2)</f>
        <v>0</v>
      </c>
      <c r="AL57" s="16">
        <f>ROUND(F57*AD57,2)</f>
        <v>0</v>
      </c>
      <c r="AM57" s="18" t="s">
        <v>183</v>
      </c>
      <c r="AN57" s="18" t="s">
        <v>184</v>
      </c>
      <c r="AO57" s="11" t="s">
        <v>78</v>
      </c>
      <c r="AQ57" s="16">
        <f>AK57+AL57</f>
        <v>0</v>
      </c>
      <c r="AR57" s="16">
        <f>G57/(100-AS57)*100</f>
        <v>0</v>
      </c>
      <c r="AS57" s="16">
        <v>0</v>
      </c>
      <c r="AT57" s="16">
        <f>58</f>
        <v>58</v>
      </c>
      <c r="AV57" s="16">
        <f>F57*AC57</f>
        <v>0</v>
      </c>
      <c r="AW57" s="16">
        <f>F57*AD57</f>
        <v>0</v>
      </c>
      <c r="AX57" s="16">
        <f>F57*G57</f>
        <v>0</v>
      </c>
      <c r="AY57" s="18" t="s">
        <v>79</v>
      </c>
      <c r="AZ57" s="16">
        <v>0</v>
      </c>
    </row>
    <row r="58" spans="2:52" ht="25.5" customHeight="1" x14ac:dyDescent="0.25">
      <c r="B58" s="72" t="s">
        <v>188</v>
      </c>
      <c r="C58" s="21" t="s">
        <v>189</v>
      </c>
      <c r="D58" s="42" t="s">
        <v>190</v>
      </c>
      <c r="E58" s="21" t="s">
        <v>119</v>
      </c>
      <c r="F58" s="73">
        <v>1</v>
      </c>
      <c r="G58" s="140">
        <v>0</v>
      </c>
      <c r="H58" s="73">
        <f>ROUND(F58*AC58,2)</f>
        <v>0</v>
      </c>
      <c r="I58" s="73">
        <f>ROUND(F58*AD58,2)</f>
        <v>0</v>
      </c>
      <c r="J58" s="87">
        <f>ROUND(F58*G58,2)</f>
        <v>0</v>
      </c>
      <c r="K58" s="40"/>
      <c r="L58" s="17" t="s">
        <v>3</v>
      </c>
      <c r="N58" s="16">
        <f>ROUND(IF(AE58="5",AX58,0),2)</f>
        <v>0</v>
      </c>
      <c r="P58" s="16">
        <f>ROUND(IF(AE58="1",AV58,0),2)</f>
        <v>0</v>
      </c>
      <c r="Q58" s="16">
        <f>ROUND(IF(AE58="1",AW58,0),2)</f>
        <v>0</v>
      </c>
      <c r="R58" s="16">
        <f>ROUND(IF(AE58="7",AV58,0),2)</f>
        <v>0</v>
      </c>
      <c r="S58" s="16">
        <f>ROUND(IF(AE58="7",AW58,0),2)</f>
        <v>0</v>
      </c>
      <c r="T58" s="16">
        <f>ROUND(IF(AE58="2",AV58,0),2)</f>
        <v>0</v>
      </c>
      <c r="U58" s="16">
        <f>ROUND(IF(AE58="2",AW58,0),2)</f>
        <v>0</v>
      </c>
      <c r="V58" s="16">
        <f>ROUND(IF(AE58="0",AX58,0),2)</f>
        <v>0</v>
      </c>
      <c r="W58" s="11" t="s">
        <v>3</v>
      </c>
      <c r="X58" s="16">
        <f>IF(AB58=0,J58,0)</f>
        <v>0</v>
      </c>
      <c r="Y58" s="16">
        <f>IF(AB58=12,J58,0)</f>
        <v>0</v>
      </c>
      <c r="Z58" s="16">
        <f>IF(AB58=21,J58,0)</f>
        <v>0</v>
      </c>
      <c r="AB58" s="16">
        <v>21</v>
      </c>
      <c r="AC58" s="16">
        <f>G58*1</f>
        <v>0</v>
      </c>
      <c r="AD58" s="16">
        <f>G58*(1-1)</f>
        <v>0</v>
      </c>
      <c r="AE58" s="18" t="s">
        <v>71</v>
      </c>
      <c r="AJ58" s="16">
        <f>ROUND(AK58+AL58,2)</f>
        <v>0</v>
      </c>
      <c r="AK58" s="16">
        <f>ROUND(F58*AC58,2)</f>
        <v>0</v>
      </c>
      <c r="AL58" s="16">
        <f>ROUND(F58*AD58,2)</f>
        <v>0</v>
      </c>
      <c r="AM58" s="18" t="s">
        <v>183</v>
      </c>
      <c r="AN58" s="18" t="s">
        <v>184</v>
      </c>
      <c r="AO58" s="11" t="s">
        <v>78</v>
      </c>
      <c r="AQ58" s="16">
        <f>AK58+AL58</f>
        <v>0</v>
      </c>
      <c r="AR58" s="16">
        <f>G58/(100-AS58)*100</f>
        <v>0</v>
      </c>
      <c r="AS58" s="16">
        <v>0</v>
      </c>
      <c r="AT58" s="16">
        <f>59</f>
        <v>59</v>
      </c>
      <c r="AV58" s="16">
        <f>F58*AC58</f>
        <v>0</v>
      </c>
      <c r="AW58" s="16">
        <f>F58*AD58</f>
        <v>0</v>
      </c>
      <c r="AX58" s="16">
        <f>F58*G58</f>
        <v>0</v>
      </c>
      <c r="AY58" s="18" t="s">
        <v>79</v>
      </c>
      <c r="AZ58" s="16">
        <v>0</v>
      </c>
    </row>
    <row r="59" spans="2:52" ht="25.5" customHeight="1" x14ac:dyDescent="0.25">
      <c r="B59" s="72" t="s">
        <v>114</v>
      </c>
      <c r="C59" s="21" t="s">
        <v>191</v>
      </c>
      <c r="D59" s="42" t="s">
        <v>192</v>
      </c>
      <c r="E59" s="21" t="s">
        <v>119</v>
      </c>
      <c r="F59" s="73">
        <v>1</v>
      </c>
      <c r="G59" s="140">
        <v>0</v>
      </c>
      <c r="H59" s="73">
        <f>ROUND(F59*AC59,2)</f>
        <v>0</v>
      </c>
      <c r="I59" s="73">
        <f>ROUND(F59*AD59,2)</f>
        <v>0</v>
      </c>
      <c r="J59" s="87">
        <f>ROUND(F59*G59,2)</f>
        <v>0</v>
      </c>
      <c r="K59" s="40"/>
      <c r="L59" s="17" t="s">
        <v>3</v>
      </c>
      <c r="N59" s="16">
        <f>ROUND(IF(AE59="5",AX59,0),2)</f>
        <v>0</v>
      </c>
      <c r="P59" s="16">
        <f>ROUND(IF(AE59="1",AV59,0),2)</f>
        <v>0</v>
      </c>
      <c r="Q59" s="16">
        <f>ROUND(IF(AE59="1",AW59,0),2)</f>
        <v>0</v>
      </c>
      <c r="R59" s="16">
        <f>ROUND(IF(AE59="7",AV59,0),2)</f>
        <v>0</v>
      </c>
      <c r="S59" s="16">
        <f>ROUND(IF(AE59="7",AW59,0),2)</f>
        <v>0</v>
      </c>
      <c r="T59" s="16">
        <f>ROUND(IF(AE59="2",AV59,0),2)</f>
        <v>0</v>
      </c>
      <c r="U59" s="16">
        <f>ROUND(IF(AE59="2",AW59,0),2)</f>
        <v>0</v>
      </c>
      <c r="V59" s="16">
        <f>ROUND(IF(AE59="0",AX59,0),2)</f>
        <v>0</v>
      </c>
      <c r="W59" s="11" t="s">
        <v>3</v>
      </c>
      <c r="X59" s="16">
        <f>IF(AB59=0,J59,0)</f>
        <v>0</v>
      </c>
      <c r="Y59" s="16">
        <f>IF(AB59=12,J59,0)</f>
        <v>0</v>
      </c>
      <c r="Z59" s="16">
        <f>IF(AB59=21,J59,0)</f>
        <v>0</v>
      </c>
      <c r="AB59" s="16">
        <v>21</v>
      </c>
      <c r="AC59" s="16">
        <f>G59*1</f>
        <v>0</v>
      </c>
      <c r="AD59" s="16">
        <f>G59*(1-1)</f>
        <v>0</v>
      </c>
      <c r="AE59" s="18" t="s">
        <v>71</v>
      </c>
      <c r="AJ59" s="16">
        <f>ROUND(AK59+AL59,2)</f>
        <v>0</v>
      </c>
      <c r="AK59" s="16">
        <f>ROUND(F59*AC59,2)</f>
        <v>0</v>
      </c>
      <c r="AL59" s="16">
        <f>ROUND(F59*AD59,2)</f>
        <v>0</v>
      </c>
      <c r="AM59" s="18" t="s">
        <v>183</v>
      </c>
      <c r="AN59" s="18" t="s">
        <v>184</v>
      </c>
      <c r="AO59" s="11" t="s">
        <v>78</v>
      </c>
      <c r="AQ59" s="16">
        <f>AK59+AL59</f>
        <v>0</v>
      </c>
      <c r="AR59" s="16">
        <f>G59/(100-AS59)*100</f>
        <v>0</v>
      </c>
      <c r="AS59" s="16">
        <v>0</v>
      </c>
      <c r="AT59" s="16">
        <f>60</f>
        <v>60</v>
      </c>
      <c r="AV59" s="16">
        <f>F59*AC59</f>
        <v>0</v>
      </c>
      <c r="AW59" s="16">
        <f>F59*AD59</f>
        <v>0</v>
      </c>
      <c r="AX59" s="16">
        <f>F59*G59</f>
        <v>0</v>
      </c>
      <c r="AY59" s="18" t="s">
        <v>79</v>
      </c>
      <c r="AZ59" s="16">
        <v>0</v>
      </c>
    </row>
    <row r="60" spans="2:52" ht="27" customHeight="1" x14ac:dyDescent="0.25">
      <c r="B60" s="74"/>
      <c r="C60" s="75" t="s">
        <v>122</v>
      </c>
      <c r="D60" s="43" t="s">
        <v>193</v>
      </c>
      <c r="E60" s="43"/>
      <c r="F60" s="43"/>
      <c r="G60" s="141"/>
      <c r="H60" s="43"/>
      <c r="I60" s="43"/>
      <c r="J60" s="88"/>
      <c r="K60" s="43"/>
      <c r="L60" s="44"/>
    </row>
    <row r="61" spans="2:52" ht="25.5" customHeight="1" x14ac:dyDescent="0.25">
      <c r="B61" s="72" t="s">
        <v>194</v>
      </c>
      <c r="C61" s="21" t="s">
        <v>195</v>
      </c>
      <c r="D61" s="42" t="s">
        <v>196</v>
      </c>
      <c r="E61" s="21" t="s">
        <v>119</v>
      </c>
      <c r="F61" s="73">
        <v>1</v>
      </c>
      <c r="G61" s="140">
        <v>0</v>
      </c>
      <c r="H61" s="73">
        <f>ROUND(F61*AC61,2)</f>
        <v>0</v>
      </c>
      <c r="I61" s="73">
        <f>ROUND(F61*AD61,2)</f>
        <v>0</v>
      </c>
      <c r="J61" s="87">
        <f>ROUND(F61*G61,2)</f>
        <v>0</v>
      </c>
      <c r="K61" s="40"/>
      <c r="L61" s="17" t="s">
        <v>3</v>
      </c>
      <c r="N61" s="16">
        <f>ROUND(IF(AE61="5",AX61,0),2)</f>
        <v>0</v>
      </c>
      <c r="P61" s="16">
        <f>ROUND(IF(AE61="1",AV61,0),2)</f>
        <v>0</v>
      </c>
      <c r="Q61" s="16">
        <f>ROUND(IF(AE61="1",AW61,0),2)</f>
        <v>0</v>
      </c>
      <c r="R61" s="16">
        <f>ROUND(IF(AE61="7",AV61,0),2)</f>
        <v>0</v>
      </c>
      <c r="S61" s="16">
        <f>ROUND(IF(AE61="7",AW61,0),2)</f>
        <v>0</v>
      </c>
      <c r="T61" s="16">
        <f>ROUND(IF(AE61="2",AV61,0),2)</f>
        <v>0</v>
      </c>
      <c r="U61" s="16">
        <f>ROUND(IF(AE61="2",AW61,0),2)</f>
        <v>0</v>
      </c>
      <c r="V61" s="16">
        <f>ROUND(IF(AE61="0",AX61,0),2)</f>
        <v>0</v>
      </c>
      <c r="W61" s="11" t="s">
        <v>3</v>
      </c>
      <c r="X61" s="16">
        <f>IF(AB61=0,J61,0)</f>
        <v>0</v>
      </c>
      <c r="Y61" s="16">
        <f>IF(AB61=12,J61,0)</f>
        <v>0</v>
      </c>
      <c r="Z61" s="16">
        <f>IF(AB61=21,J61,0)</f>
        <v>0</v>
      </c>
      <c r="AB61" s="16">
        <v>21</v>
      </c>
      <c r="AC61" s="16">
        <f>G61*1</f>
        <v>0</v>
      </c>
      <c r="AD61" s="16">
        <f>G61*(1-1)</f>
        <v>0</v>
      </c>
      <c r="AE61" s="18" t="s">
        <v>71</v>
      </c>
      <c r="AJ61" s="16">
        <f>ROUND(AK61+AL61,2)</f>
        <v>0</v>
      </c>
      <c r="AK61" s="16">
        <f>ROUND(F61*AC61,2)</f>
        <v>0</v>
      </c>
      <c r="AL61" s="16">
        <f>ROUND(F61*AD61,2)</f>
        <v>0</v>
      </c>
      <c r="AM61" s="18" t="s">
        <v>183</v>
      </c>
      <c r="AN61" s="18" t="s">
        <v>184</v>
      </c>
      <c r="AO61" s="11" t="s">
        <v>78</v>
      </c>
      <c r="AQ61" s="16">
        <f>AK61+AL61</f>
        <v>0</v>
      </c>
      <c r="AR61" s="16">
        <f>G61/(100-AS61)*100</f>
        <v>0</v>
      </c>
      <c r="AS61" s="16">
        <v>0</v>
      </c>
      <c r="AT61" s="16">
        <f>62</f>
        <v>62</v>
      </c>
      <c r="AV61" s="16">
        <f>F61*AC61</f>
        <v>0</v>
      </c>
      <c r="AW61" s="16">
        <f>F61*AD61</f>
        <v>0</v>
      </c>
      <c r="AX61" s="16">
        <f>F61*G61</f>
        <v>0</v>
      </c>
      <c r="AY61" s="18" t="s">
        <v>79</v>
      </c>
      <c r="AZ61" s="16">
        <v>0</v>
      </c>
    </row>
    <row r="62" spans="2:52" ht="27" customHeight="1" x14ac:dyDescent="0.25">
      <c r="B62" s="74"/>
      <c r="C62" s="75" t="s">
        <v>122</v>
      </c>
      <c r="D62" s="43" t="s">
        <v>193</v>
      </c>
      <c r="E62" s="43"/>
      <c r="F62" s="43"/>
      <c r="G62" s="141"/>
      <c r="H62" s="43"/>
      <c r="I62" s="43"/>
      <c r="J62" s="88"/>
      <c r="K62" s="43"/>
      <c r="L62" s="44"/>
    </row>
    <row r="63" spans="2:52" ht="25.5" customHeight="1" x14ac:dyDescent="0.25">
      <c r="B63" s="72" t="s">
        <v>197</v>
      </c>
      <c r="C63" s="21" t="s">
        <v>198</v>
      </c>
      <c r="D63" s="42" t="s">
        <v>199</v>
      </c>
      <c r="E63" s="21" t="s">
        <v>119</v>
      </c>
      <c r="F63" s="73">
        <v>1</v>
      </c>
      <c r="G63" s="140">
        <v>0</v>
      </c>
      <c r="H63" s="73">
        <f>ROUND(F63*AC63,2)</f>
        <v>0</v>
      </c>
      <c r="I63" s="73">
        <f>ROUND(F63*AD63,2)</f>
        <v>0</v>
      </c>
      <c r="J63" s="87">
        <f>ROUND(F63*G63,2)</f>
        <v>0</v>
      </c>
      <c r="K63" s="40"/>
      <c r="L63" s="17" t="s">
        <v>3</v>
      </c>
      <c r="N63" s="16">
        <f>ROUND(IF(AE63="5",AX63,0),2)</f>
        <v>0</v>
      </c>
      <c r="P63" s="16">
        <f>ROUND(IF(AE63="1",AV63,0),2)</f>
        <v>0</v>
      </c>
      <c r="Q63" s="16">
        <f>ROUND(IF(AE63="1",AW63,0),2)</f>
        <v>0</v>
      </c>
      <c r="R63" s="16">
        <f>ROUND(IF(AE63="7",AV63,0),2)</f>
        <v>0</v>
      </c>
      <c r="S63" s="16">
        <f>ROUND(IF(AE63="7",AW63,0),2)</f>
        <v>0</v>
      </c>
      <c r="T63" s="16">
        <f>ROUND(IF(AE63="2",AV63,0),2)</f>
        <v>0</v>
      </c>
      <c r="U63" s="16">
        <f>ROUND(IF(AE63="2",AW63,0),2)</f>
        <v>0</v>
      </c>
      <c r="V63" s="16">
        <f>ROUND(IF(AE63="0",AX63,0),2)</f>
        <v>0</v>
      </c>
      <c r="W63" s="11" t="s">
        <v>3</v>
      </c>
      <c r="X63" s="16">
        <f>IF(AB63=0,J63,0)</f>
        <v>0</v>
      </c>
      <c r="Y63" s="16">
        <f>IF(AB63=12,J63,0)</f>
        <v>0</v>
      </c>
      <c r="Z63" s="16">
        <f>IF(AB63=21,J63,0)</f>
        <v>0</v>
      </c>
      <c r="AB63" s="16">
        <v>21</v>
      </c>
      <c r="AC63" s="16">
        <f>G63*0</f>
        <v>0</v>
      </c>
      <c r="AD63" s="16">
        <f>G63*(1-0)</f>
        <v>0</v>
      </c>
      <c r="AE63" s="18" t="s">
        <v>71</v>
      </c>
      <c r="AJ63" s="16">
        <f>ROUND(AK63+AL63,2)</f>
        <v>0</v>
      </c>
      <c r="AK63" s="16">
        <f>ROUND(F63*AC63,2)</f>
        <v>0</v>
      </c>
      <c r="AL63" s="16">
        <f>ROUND(F63*AD63,2)</f>
        <v>0</v>
      </c>
      <c r="AM63" s="18" t="s">
        <v>183</v>
      </c>
      <c r="AN63" s="18" t="s">
        <v>184</v>
      </c>
      <c r="AO63" s="11" t="s">
        <v>78</v>
      </c>
      <c r="AQ63" s="16">
        <f>AK63+AL63</f>
        <v>0</v>
      </c>
      <c r="AR63" s="16">
        <f>G63/(100-AS63)*100</f>
        <v>0</v>
      </c>
      <c r="AS63" s="16">
        <v>0</v>
      </c>
      <c r="AT63" s="16">
        <f>64</f>
        <v>64</v>
      </c>
      <c r="AV63" s="16">
        <f>F63*AC63</f>
        <v>0</v>
      </c>
      <c r="AW63" s="16">
        <f>F63*AD63</f>
        <v>0</v>
      </c>
      <c r="AX63" s="16">
        <f>F63*G63</f>
        <v>0</v>
      </c>
      <c r="AY63" s="18" t="s">
        <v>79</v>
      </c>
      <c r="AZ63" s="16">
        <v>0</v>
      </c>
    </row>
    <row r="64" spans="2:52" ht="27" customHeight="1" x14ac:dyDescent="0.25">
      <c r="B64" s="74"/>
      <c r="C64" s="75" t="s">
        <v>122</v>
      </c>
      <c r="D64" s="43" t="s">
        <v>200</v>
      </c>
      <c r="E64" s="43"/>
      <c r="F64" s="43"/>
      <c r="G64" s="141"/>
      <c r="H64" s="43"/>
      <c r="I64" s="43"/>
      <c r="J64" s="88"/>
      <c r="K64" s="43"/>
      <c r="L64" s="44"/>
    </row>
    <row r="65" spans="2:52" x14ac:dyDescent="0.25">
      <c r="B65" s="72" t="s">
        <v>201</v>
      </c>
      <c r="C65" s="21" t="s">
        <v>202</v>
      </c>
      <c r="D65" s="42" t="s">
        <v>203</v>
      </c>
      <c r="E65" s="21" t="s">
        <v>171</v>
      </c>
      <c r="F65" s="73">
        <v>1</v>
      </c>
      <c r="G65" s="140">
        <v>0</v>
      </c>
      <c r="H65" s="73">
        <f>ROUND(F65*AC65,2)</f>
        <v>0</v>
      </c>
      <c r="I65" s="73">
        <f>ROUND(F65*AD65,2)</f>
        <v>0</v>
      </c>
      <c r="J65" s="87">
        <f>ROUND(F65*G65,2)</f>
        <v>0</v>
      </c>
      <c r="K65" s="40"/>
      <c r="L65" s="17" t="s">
        <v>95</v>
      </c>
      <c r="N65" s="16">
        <f>ROUND(IF(AE65="5",AX65,0),2)</f>
        <v>0</v>
      </c>
      <c r="P65" s="16">
        <f>ROUND(IF(AE65="1",AV65,0),2)</f>
        <v>0</v>
      </c>
      <c r="Q65" s="16">
        <f>ROUND(IF(AE65="1",AW65,0),2)</f>
        <v>0</v>
      </c>
      <c r="R65" s="16">
        <f>ROUND(IF(AE65="7",AV65,0),2)</f>
        <v>0</v>
      </c>
      <c r="S65" s="16">
        <f>ROUND(IF(AE65="7",AW65,0),2)</f>
        <v>0</v>
      </c>
      <c r="T65" s="16">
        <f>ROUND(IF(AE65="2",AV65,0),2)</f>
        <v>0</v>
      </c>
      <c r="U65" s="16">
        <f>ROUND(IF(AE65="2",AW65,0),2)</f>
        <v>0</v>
      </c>
      <c r="V65" s="16">
        <f>ROUND(IF(AE65="0",AX65,0),2)</f>
        <v>0</v>
      </c>
      <c r="W65" s="11" t="s">
        <v>3</v>
      </c>
      <c r="X65" s="16">
        <f>IF(AB65=0,J65,0)</f>
        <v>0</v>
      </c>
      <c r="Y65" s="16">
        <f>IF(AB65=12,J65,0)</f>
        <v>0</v>
      </c>
      <c r="Z65" s="16">
        <f>IF(AB65=21,J65,0)</f>
        <v>0</v>
      </c>
      <c r="AB65" s="16">
        <v>21</v>
      </c>
      <c r="AC65" s="16">
        <f>G65*0</f>
        <v>0</v>
      </c>
      <c r="AD65" s="16">
        <f>G65*(1-0)</f>
        <v>0</v>
      </c>
      <c r="AE65" s="18" t="s">
        <v>71</v>
      </c>
      <c r="AJ65" s="16">
        <f>ROUND(AK65+AL65,2)</f>
        <v>0</v>
      </c>
      <c r="AK65" s="16">
        <f>ROUND(F65*AC65,2)</f>
        <v>0</v>
      </c>
      <c r="AL65" s="16">
        <f>ROUND(F65*AD65,2)</f>
        <v>0</v>
      </c>
      <c r="AM65" s="18" t="s">
        <v>183</v>
      </c>
      <c r="AN65" s="18" t="s">
        <v>184</v>
      </c>
      <c r="AO65" s="11" t="s">
        <v>78</v>
      </c>
      <c r="AQ65" s="16">
        <f>AK65+AL65</f>
        <v>0</v>
      </c>
      <c r="AR65" s="16">
        <f>G65/(100-AS65)*100</f>
        <v>0</v>
      </c>
      <c r="AS65" s="16">
        <v>0</v>
      </c>
      <c r="AT65" s="16">
        <f>66</f>
        <v>66</v>
      </c>
      <c r="AV65" s="16">
        <f>F65*AC65</f>
        <v>0</v>
      </c>
      <c r="AW65" s="16">
        <f>F65*AD65</f>
        <v>0</v>
      </c>
      <c r="AX65" s="16">
        <f>F65*G65</f>
        <v>0</v>
      </c>
      <c r="AY65" s="18" t="s">
        <v>79</v>
      </c>
      <c r="AZ65" s="16">
        <v>0</v>
      </c>
    </row>
    <row r="66" spans="2:52" x14ac:dyDescent="0.25">
      <c r="B66" s="72" t="s">
        <v>204</v>
      </c>
      <c r="C66" s="21" t="s">
        <v>205</v>
      </c>
      <c r="D66" s="42" t="s">
        <v>206</v>
      </c>
      <c r="E66" s="21" t="s">
        <v>171</v>
      </c>
      <c r="F66" s="73">
        <v>3</v>
      </c>
      <c r="G66" s="140">
        <v>0</v>
      </c>
      <c r="H66" s="73">
        <f>ROUND(F66*AC66,2)</f>
        <v>0</v>
      </c>
      <c r="I66" s="73">
        <f>ROUND(F66*AD66,2)</f>
        <v>0</v>
      </c>
      <c r="J66" s="87">
        <f>ROUND(F66*G66,2)</f>
        <v>0</v>
      </c>
      <c r="K66" s="40"/>
      <c r="L66" s="17" t="s">
        <v>95</v>
      </c>
      <c r="N66" s="16">
        <f>ROUND(IF(AE66="5",AX66,0),2)</f>
        <v>0</v>
      </c>
      <c r="P66" s="16">
        <f>ROUND(IF(AE66="1",AV66,0),2)</f>
        <v>0</v>
      </c>
      <c r="Q66" s="16">
        <f>ROUND(IF(AE66="1",AW66,0),2)</f>
        <v>0</v>
      </c>
      <c r="R66" s="16">
        <f>ROUND(IF(AE66="7",AV66,0),2)</f>
        <v>0</v>
      </c>
      <c r="S66" s="16">
        <f>ROUND(IF(AE66="7",AW66,0),2)</f>
        <v>0</v>
      </c>
      <c r="T66" s="16">
        <f>ROUND(IF(AE66="2",AV66,0),2)</f>
        <v>0</v>
      </c>
      <c r="U66" s="16">
        <f>ROUND(IF(AE66="2",AW66,0),2)</f>
        <v>0</v>
      </c>
      <c r="V66" s="16">
        <f>ROUND(IF(AE66="0",AX66,0),2)</f>
        <v>0</v>
      </c>
      <c r="W66" s="11" t="s">
        <v>3</v>
      </c>
      <c r="X66" s="16">
        <f>IF(AB66=0,J66,0)</f>
        <v>0</v>
      </c>
      <c r="Y66" s="16">
        <f>IF(AB66=12,J66,0)</f>
        <v>0</v>
      </c>
      <c r="Z66" s="16">
        <f>IF(AB66=21,J66,0)</f>
        <v>0</v>
      </c>
      <c r="AB66" s="16">
        <v>21</v>
      </c>
      <c r="AC66" s="16">
        <f>G66*0</f>
        <v>0</v>
      </c>
      <c r="AD66" s="16">
        <f>G66*(1-0)</f>
        <v>0</v>
      </c>
      <c r="AE66" s="18" t="s">
        <v>71</v>
      </c>
      <c r="AJ66" s="16">
        <f>ROUND(AK66+AL66,2)</f>
        <v>0</v>
      </c>
      <c r="AK66" s="16">
        <f>ROUND(F66*AC66,2)</f>
        <v>0</v>
      </c>
      <c r="AL66" s="16">
        <f>ROUND(F66*AD66,2)</f>
        <v>0</v>
      </c>
      <c r="AM66" s="18" t="s">
        <v>183</v>
      </c>
      <c r="AN66" s="18" t="s">
        <v>184</v>
      </c>
      <c r="AO66" s="11" t="s">
        <v>78</v>
      </c>
      <c r="AQ66" s="16">
        <f>AK66+AL66</f>
        <v>0</v>
      </c>
      <c r="AR66" s="16">
        <f>G66/(100-AS66)*100</f>
        <v>0</v>
      </c>
      <c r="AS66" s="16">
        <v>0</v>
      </c>
      <c r="AT66" s="16">
        <f>67</f>
        <v>67</v>
      </c>
      <c r="AV66" s="16">
        <f>F66*AC66</f>
        <v>0</v>
      </c>
      <c r="AW66" s="16">
        <f>F66*AD66</f>
        <v>0</v>
      </c>
      <c r="AX66" s="16">
        <f>F66*G66</f>
        <v>0</v>
      </c>
      <c r="AY66" s="18" t="s">
        <v>79</v>
      </c>
      <c r="AZ66" s="16">
        <v>0</v>
      </c>
    </row>
    <row r="67" spans="2:52" x14ac:dyDescent="0.25">
      <c r="B67" s="72" t="s">
        <v>207</v>
      </c>
      <c r="C67" s="21" t="s">
        <v>208</v>
      </c>
      <c r="D67" s="42" t="s">
        <v>209</v>
      </c>
      <c r="E67" s="21" t="s">
        <v>171</v>
      </c>
      <c r="F67" s="73">
        <v>1</v>
      </c>
      <c r="G67" s="140">
        <v>0</v>
      </c>
      <c r="H67" s="73">
        <f>ROUND(F67*AC67,2)</f>
        <v>0</v>
      </c>
      <c r="I67" s="73">
        <f>ROUND(F67*AD67,2)</f>
        <v>0</v>
      </c>
      <c r="J67" s="87">
        <f>ROUND(F67*G67,2)</f>
        <v>0</v>
      </c>
      <c r="K67" s="40"/>
      <c r="L67" s="17" t="s">
        <v>3</v>
      </c>
      <c r="N67" s="16">
        <f>ROUND(IF(AE67="5",AX67,0),2)</f>
        <v>0</v>
      </c>
      <c r="P67" s="16">
        <f>ROUND(IF(AE67="1",AV67,0),2)</f>
        <v>0</v>
      </c>
      <c r="Q67" s="16">
        <f>ROUND(IF(AE67="1",AW67,0),2)</f>
        <v>0</v>
      </c>
      <c r="R67" s="16">
        <f>ROUND(IF(AE67="7",AV67,0),2)</f>
        <v>0</v>
      </c>
      <c r="S67" s="16">
        <f>ROUND(IF(AE67="7",AW67,0),2)</f>
        <v>0</v>
      </c>
      <c r="T67" s="16">
        <f>ROUND(IF(AE67="2",AV67,0),2)</f>
        <v>0</v>
      </c>
      <c r="U67" s="16">
        <f>ROUND(IF(AE67="2",AW67,0),2)</f>
        <v>0</v>
      </c>
      <c r="V67" s="16">
        <f>ROUND(IF(AE67="0",AX67,0),2)</f>
        <v>0</v>
      </c>
      <c r="W67" s="11" t="s">
        <v>3</v>
      </c>
      <c r="X67" s="16">
        <f>IF(AB67=0,J67,0)</f>
        <v>0</v>
      </c>
      <c r="Y67" s="16">
        <f>IF(AB67=12,J67,0)</f>
        <v>0</v>
      </c>
      <c r="Z67" s="16">
        <f>IF(AB67=21,J67,0)</f>
        <v>0</v>
      </c>
      <c r="AB67" s="16">
        <v>21</v>
      </c>
      <c r="AC67" s="16">
        <f>G67*0</f>
        <v>0</v>
      </c>
      <c r="AD67" s="16">
        <f>G67*(1-0)</f>
        <v>0</v>
      </c>
      <c r="AE67" s="18" t="s">
        <v>71</v>
      </c>
      <c r="AJ67" s="16">
        <f>ROUND(AK67+AL67,2)</f>
        <v>0</v>
      </c>
      <c r="AK67" s="16">
        <f>ROUND(F67*AC67,2)</f>
        <v>0</v>
      </c>
      <c r="AL67" s="16">
        <f>ROUND(F67*AD67,2)</f>
        <v>0</v>
      </c>
      <c r="AM67" s="18" t="s">
        <v>183</v>
      </c>
      <c r="AN67" s="18" t="s">
        <v>184</v>
      </c>
      <c r="AO67" s="11" t="s">
        <v>78</v>
      </c>
      <c r="AQ67" s="16">
        <f>AK67+AL67</f>
        <v>0</v>
      </c>
      <c r="AR67" s="16">
        <f>G67/(100-AS67)*100</f>
        <v>0</v>
      </c>
      <c r="AS67" s="16">
        <v>0</v>
      </c>
      <c r="AT67" s="16">
        <f>68</f>
        <v>68</v>
      </c>
      <c r="AV67" s="16">
        <f>F67*AC67</f>
        <v>0</v>
      </c>
      <c r="AW67" s="16">
        <f>F67*AD67</f>
        <v>0</v>
      </c>
      <c r="AX67" s="16">
        <f>F67*G67</f>
        <v>0</v>
      </c>
      <c r="AY67" s="18" t="s">
        <v>79</v>
      </c>
      <c r="AZ67" s="16">
        <v>0</v>
      </c>
    </row>
    <row r="68" spans="2:52" ht="13.5" customHeight="1" x14ac:dyDescent="0.25">
      <c r="B68" s="74"/>
      <c r="C68" s="75" t="s">
        <v>122</v>
      </c>
      <c r="D68" s="43" t="s">
        <v>210</v>
      </c>
      <c r="E68" s="43"/>
      <c r="F68" s="43"/>
      <c r="G68" s="141"/>
      <c r="H68" s="43"/>
      <c r="I68" s="43"/>
      <c r="J68" s="88"/>
      <c r="K68" s="43"/>
      <c r="L68" s="44"/>
    </row>
    <row r="69" spans="2:52" x14ac:dyDescent="0.25">
      <c r="B69" s="72" t="s">
        <v>211</v>
      </c>
      <c r="C69" s="21" t="s">
        <v>212</v>
      </c>
      <c r="D69" s="42" t="s">
        <v>213</v>
      </c>
      <c r="E69" s="21" t="s">
        <v>171</v>
      </c>
      <c r="F69" s="73">
        <v>1</v>
      </c>
      <c r="G69" s="140">
        <v>0</v>
      </c>
      <c r="H69" s="73">
        <f>ROUND(F69*AC69,2)</f>
        <v>0</v>
      </c>
      <c r="I69" s="73">
        <f>ROUND(F69*AD69,2)</f>
        <v>0</v>
      </c>
      <c r="J69" s="87">
        <f>ROUND(F69*G69,2)</f>
        <v>0</v>
      </c>
      <c r="K69" s="40"/>
      <c r="L69" s="17" t="s">
        <v>3</v>
      </c>
      <c r="N69" s="16">
        <f>ROUND(IF(AE69="5",AX69,0),2)</f>
        <v>0</v>
      </c>
      <c r="P69" s="16">
        <f>ROUND(IF(AE69="1",AV69,0),2)</f>
        <v>0</v>
      </c>
      <c r="Q69" s="16">
        <f>ROUND(IF(AE69="1",AW69,0),2)</f>
        <v>0</v>
      </c>
      <c r="R69" s="16">
        <f>ROUND(IF(AE69="7",AV69,0),2)</f>
        <v>0</v>
      </c>
      <c r="S69" s="16">
        <f>ROUND(IF(AE69="7",AW69,0),2)</f>
        <v>0</v>
      </c>
      <c r="T69" s="16">
        <f>ROUND(IF(AE69="2",AV69,0),2)</f>
        <v>0</v>
      </c>
      <c r="U69" s="16">
        <f>ROUND(IF(AE69="2",AW69,0),2)</f>
        <v>0</v>
      </c>
      <c r="V69" s="16">
        <f>ROUND(IF(AE69="0",AX69,0),2)</f>
        <v>0</v>
      </c>
      <c r="W69" s="11" t="s">
        <v>3</v>
      </c>
      <c r="X69" s="16">
        <f>IF(AB69=0,J69,0)</f>
        <v>0</v>
      </c>
      <c r="Y69" s="16">
        <f>IF(AB69=12,J69,0)</f>
        <v>0</v>
      </c>
      <c r="Z69" s="16">
        <f>IF(AB69=21,J69,0)</f>
        <v>0</v>
      </c>
      <c r="AB69" s="16">
        <v>21</v>
      </c>
      <c r="AC69" s="16">
        <f>G69*0</f>
        <v>0</v>
      </c>
      <c r="AD69" s="16">
        <f>G69*(1-0)</f>
        <v>0</v>
      </c>
      <c r="AE69" s="18" t="s">
        <v>71</v>
      </c>
      <c r="AJ69" s="16">
        <f>ROUND(AK69+AL69,2)</f>
        <v>0</v>
      </c>
      <c r="AK69" s="16">
        <f>ROUND(F69*AC69,2)</f>
        <v>0</v>
      </c>
      <c r="AL69" s="16">
        <f>ROUND(F69*AD69,2)</f>
        <v>0</v>
      </c>
      <c r="AM69" s="18" t="s">
        <v>183</v>
      </c>
      <c r="AN69" s="18" t="s">
        <v>184</v>
      </c>
      <c r="AO69" s="11" t="s">
        <v>78</v>
      </c>
      <c r="AQ69" s="16">
        <f>AK69+AL69</f>
        <v>0</v>
      </c>
      <c r="AR69" s="16">
        <f>G69/(100-AS69)*100</f>
        <v>0</v>
      </c>
      <c r="AS69" s="16">
        <v>0</v>
      </c>
      <c r="AT69" s="16">
        <f>70</f>
        <v>70</v>
      </c>
      <c r="AV69" s="16">
        <f>F69*AC69</f>
        <v>0</v>
      </c>
      <c r="AW69" s="16">
        <f>F69*AD69</f>
        <v>0</v>
      </c>
      <c r="AX69" s="16">
        <f>F69*G69</f>
        <v>0</v>
      </c>
      <c r="AY69" s="18" t="s">
        <v>79</v>
      </c>
      <c r="AZ69" s="16">
        <v>0</v>
      </c>
    </row>
    <row r="70" spans="2:52" ht="13.5" customHeight="1" x14ac:dyDescent="0.25">
      <c r="B70" s="74"/>
      <c r="C70" s="75" t="s">
        <v>122</v>
      </c>
      <c r="D70" s="43" t="s">
        <v>210</v>
      </c>
      <c r="E70" s="43"/>
      <c r="F70" s="43"/>
      <c r="G70" s="141"/>
      <c r="H70" s="43"/>
      <c r="I70" s="43"/>
      <c r="J70" s="88"/>
      <c r="K70" s="43"/>
      <c r="L70" s="44"/>
    </row>
    <row r="71" spans="2:52" x14ac:dyDescent="0.25">
      <c r="B71" s="76" t="s">
        <v>3</v>
      </c>
      <c r="C71" s="45" t="s">
        <v>134</v>
      </c>
      <c r="D71" s="46" t="s">
        <v>214</v>
      </c>
      <c r="E71" s="47" t="s">
        <v>40</v>
      </c>
      <c r="F71" s="47" t="s">
        <v>40</v>
      </c>
      <c r="G71" s="142" t="s">
        <v>40</v>
      </c>
      <c r="H71" s="33">
        <f>SUM(H72:H76)</f>
        <v>0</v>
      </c>
      <c r="I71" s="33">
        <f>SUM(I72:I76)</f>
        <v>0</v>
      </c>
      <c r="J71" s="77">
        <f>SUM(J72:J76)</f>
        <v>0</v>
      </c>
      <c r="K71" s="36"/>
      <c r="L71" s="15" t="s">
        <v>3</v>
      </c>
      <c r="W71" s="11" t="s">
        <v>3</v>
      </c>
      <c r="AG71" s="9">
        <f>SUM(X72:X76)</f>
        <v>0</v>
      </c>
      <c r="AH71" s="9">
        <f>SUM(Y72:Y76)</f>
        <v>0</v>
      </c>
      <c r="AI71" s="9">
        <f>SUM(Z72:Z76)</f>
        <v>0</v>
      </c>
    </row>
    <row r="72" spans="2:52" ht="15" customHeight="1" x14ac:dyDescent="0.25">
      <c r="B72" s="72" t="s">
        <v>215</v>
      </c>
      <c r="C72" s="21" t="s">
        <v>216</v>
      </c>
      <c r="D72" s="42" t="s">
        <v>217</v>
      </c>
      <c r="E72" s="21" t="s">
        <v>171</v>
      </c>
      <c r="F72" s="73">
        <v>5</v>
      </c>
      <c r="G72" s="140">
        <v>0</v>
      </c>
      <c r="H72" s="73">
        <f>ROUND(F72*AC72,2)</f>
        <v>0</v>
      </c>
      <c r="I72" s="73">
        <f>ROUND(F72*AD72,2)</f>
        <v>0</v>
      </c>
      <c r="J72" s="87">
        <f>ROUND(F72*G72,2)</f>
        <v>0</v>
      </c>
      <c r="K72" s="40"/>
      <c r="L72" s="17" t="s">
        <v>95</v>
      </c>
      <c r="N72" s="16">
        <f>ROUND(IF(AE72="5",AX72,0),2)</f>
        <v>0</v>
      </c>
      <c r="P72" s="16">
        <f>ROUND(IF(AE72="1",AV72,0),2)</f>
        <v>0</v>
      </c>
      <c r="Q72" s="16">
        <f>ROUND(IF(AE72="1",AW72,0),2)</f>
        <v>0</v>
      </c>
      <c r="R72" s="16">
        <f>ROUND(IF(AE72="7",AV72,0),2)</f>
        <v>0</v>
      </c>
      <c r="S72" s="16">
        <f>ROUND(IF(AE72="7",AW72,0),2)</f>
        <v>0</v>
      </c>
      <c r="T72" s="16">
        <f>ROUND(IF(AE72="2",AV72,0),2)</f>
        <v>0</v>
      </c>
      <c r="U72" s="16">
        <f>ROUND(IF(AE72="2",AW72,0),2)</f>
        <v>0</v>
      </c>
      <c r="V72" s="16">
        <f>ROUND(IF(AE72="0",AX72,0),2)</f>
        <v>0</v>
      </c>
      <c r="W72" s="11" t="s">
        <v>3</v>
      </c>
      <c r="X72" s="16">
        <f>IF(AB72=0,J72,0)</f>
        <v>0</v>
      </c>
      <c r="Y72" s="16">
        <f>IF(AB72=12,J72,0)</f>
        <v>0</v>
      </c>
      <c r="Z72" s="16">
        <f>IF(AB72=21,J72,0)</f>
        <v>0</v>
      </c>
      <c r="AB72" s="16">
        <v>21</v>
      </c>
      <c r="AC72" s="16">
        <f>G72*1</f>
        <v>0</v>
      </c>
      <c r="AD72" s="16">
        <f>G72*(1-1)</f>
        <v>0</v>
      </c>
      <c r="AE72" s="18" t="s">
        <v>71</v>
      </c>
      <c r="AJ72" s="16">
        <f>ROUND(AK72+AL72,2)</f>
        <v>0</v>
      </c>
      <c r="AK72" s="16">
        <f>ROUND(F72*AC72,2)</f>
        <v>0</v>
      </c>
      <c r="AL72" s="16">
        <f>ROUND(F72*AD72,2)</f>
        <v>0</v>
      </c>
      <c r="AM72" s="18" t="s">
        <v>218</v>
      </c>
      <c r="AN72" s="18" t="s">
        <v>219</v>
      </c>
      <c r="AO72" s="11" t="s">
        <v>78</v>
      </c>
      <c r="AQ72" s="16">
        <f>AK72+AL72</f>
        <v>0</v>
      </c>
      <c r="AR72" s="16">
        <f>G72/(100-AS72)*100</f>
        <v>0</v>
      </c>
      <c r="AS72" s="16">
        <v>0</v>
      </c>
      <c r="AT72" s="16">
        <f>73</f>
        <v>73</v>
      </c>
      <c r="AV72" s="16">
        <f>F72*AC72</f>
        <v>0</v>
      </c>
      <c r="AW72" s="16">
        <f>F72*AD72</f>
        <v>0</v>
      </c>
      <c r="AX72" s="16">
        <f>F72*G72</f>
        <v>0</v>
      </c>
      <c r="AY72" s="18" t="s">
        <v>96</v>
      </c>
      <c r="AZ72" s="16">
        <v>16</v>
      </c>
    </row>
    <row r="73" spans="2:52" ht="15" customHeight="1" x14ac:dyDescent="0.25">
      <c r="B73" s="72" t="s">
        <v>220</v>
      </c>
      <c r="C73" s="21" t="s">
        <v>221</v>
      </c>
      <c r="D73" s="42" t="s">
        <v>222</v>
      </c>
      <c r="E73" s="21" t="s">
        <v>171</v>
      </c>
      <c r="F73" s="73">
        <v>1</v>
      </c>
      <c r="G73" s="140">
        <v>0</v>
      </c>
      <c r="H73" s="73">
        <f>ROUND(F73*AC73,2)</f>
        <v>0</v>
      </c>
      <c r="I73" s="73">
        <f>ROUND(F73*AD73,2)</f>
        <v>0</v>
      </c>
      <c r="J73" s="87">
        <f>ROUND(F73*G73,2)</f>
        <v>0</v>
      </c>
      <c r="K73" s="40"/>
      <c r="L73" s="17" t="s">
        <v>95</v>
      </c>
      <c r="N73" s="16">
        <f>ROUND(IF(AE73="5",AX73,0),2)</f>
        <v>0</v>
      </c>
      <c r="P73" s="16">
        <f>ROUND(IF(AE73="1",AV73,0),2)</f>
        <v>0</v>
      </c>
      <c r="Q73" s="16">
        <f>ROUND(IF(AE73="1",AW73,0),2)</f>
        <v>0</v>
      </c>
      <c r="R73" s="16">
        <f>ROUND(IF(AE73="7",AV73,0),2)</f>
        <v>0</v>
      </c>
      <c r="S73" s="16">
        <f>ROUND(IF(AE73="7",AW73,0),2)</f>
        <v>0</v>
      </c>
      <c r="T73" s="16">
        <f>ROUND(IF(AE73="2",AV73,0),2)</f>
        <v>0</v>
      </c>
      <c r="U73" s="16">
        <f>ROUND(IF(AE73="2",AW73,0),2)</f>
        <v>0</v>
      </c>
      <c r="V73" s="16">
        <f>ROUND(IF(AE73="0",AX73,0),2)</f>
        <v>0</v>
      </c>
      <c r="W73" s="11" t="s">
        <v>3</v>
      </c>
      <c r="X73" s="16">
        <f>IF(AB73=0,J73,0)</f>
        <v>0</v>
      </c>
      <c r="Y73" s="16">
        <f>IF(AB73=12,J73,0)</f>
        <v>0</v>
      </c>
      <c r="Z73" s="16">
        <f>IF(AB73=21,J73,0)</f>
        <v>0</v>
      </c>
      <c r="AB73" s="16">
        <v>21</v>
      </c>
      <c r="AC73" s="16">
        <f>G73*1</f>
        <v>0</v>
      </c>
      <c r="AD73" s="16">
        <f>G73*(1-1)</f>
        <v>0</v>
      </c>
      <c r="AE73" s="18" t="s">
        <v>71</v>
      </c>
      <c r="AJ73" s="16">
        <f>ROUND(AK73+AL73,2)</f>
        <v>0</v>
      </c>
      <c r="AK73" s="16">
        <f>ROUND(F73*AC73,2)</f>
        <v>0</v>
      </c>
      <c r="AL73" s="16">
        <f>ROUND(F73*AD73,2)</f>
        <v>0</v>
      </c>
      <c r="AM73" s="18" t="s">
        <v>218</v>
      </c>
      <c r="AN73" s="18" t="s">
        <v>219</v>
      </c>
      <c r="AO73" s="11" t="s">
        <v>78</v>
      </c>
      <c r="AQ73" s="16">
        <f>AK73+AL73</f>
        <v>0</v>
      </c>
      <c r="AR73" s="16">
        <f>G73/(100-AS73)*100</f>
        <v>0</v>
      </c>
      <c r="AS73" s="16">
        <v>0</v>
      </c>
      <c r="AT73" s="16">
        <f>74</f>
        <v>74</v>
      </c>
      <c r="AV73" s="16">
        <f>F73*AC73</f>
        <v>0</v>
      </c>
      <c r="AW73" s="16">
        <f>F73*AD73</f>
        <v>0</v>
      </c>
      <c r="AX73" s="16">
        <f>F73*G73</f>
        <v>0</v>
      </c>
      <c r="AY73" s="18" t="s">
        <v>96</v>
      </c>
      <c r="AZ73" s="16">
        <v>16</v>
      </c>
    </row>
    <row r="74" spans="2:52" x14ac:dyDescent="0.25">
      <c r="B74" s="72" t="s">
        <v>223</v>
      </c>
      <c r="C74" s="21" t="s">
        <v>224</v>
      </c>
      <c r="D74" s="42" t="s">
        <v>225</v>
      </c>
      <c r="E74" s="21" t="s">
        <v>171</v>
      </c>
      <c r="F74" s="73">
        <v>1</v>
      </c>
      <c r="G74" s="140">
        <v>0</v>
      </c>
      <c r="H74" s="73">
        <f>ROUND(F74*AC74,2)</f>
        <v>0</v>
      </c>
      <c r="I74" s="73">
        <f>ROUND(F74*AD74,2)</f>
        <v>0</v>
      </c>
      <c r="J74" s="87">
        <f>ROUND(F74*G74,2)</f>
        <v>0</v>
      </c>
      <c r="K74" s="40"/>
      <c r="L74" s="17" t="s">
        <v>3</v>
      </c>
      <c r="N74" s="16">
        <f>ROUND(IF(AE74="5",AX74,0),2)</f>
        <v>0</v>
      </c>
      <c r="P74" s="16">
        <f>ROUND(IF(AE74="1",AV74,0),2)</f>
        <v>0</v>
      </c>
      <c r="Q74" s="16">
        <f>ROUND(IF(AE74="1",AW74,0),2)</f>
        <v>0</v>
      </c>
      <c r="R74" s="16">
        <f>ROUND(IF(AE74="7",AV74,0),2)</f>
        <v>0</v>
      </c>
      <c r="S74" s="16">
        <f>ROUND(IF(AE74="7",AW74,0),2)</f>
        <v>0</v>
      </c>
      <c r="T74" s="16">
        <f>ROUND(IF(AE74="2",AV74,0),2)</f>
        <v>0</v>
      </c>
      <c r="U74" s="16">
        <f>ROUND(IF(AE74="2",AW74,0),2)</f>
        <v>0</v>
      </c>
      <c r="V74" s="16">
        <f>ROUND(IF(AE74="0",AX74,0),2)</f>
        <v>0</v>
      </c>
      <c r="W74" s="11" t="s">
        <v>3</v>
      </c>
      <c r="X74" s="16">
        <f>IF(AB74=0,J74,0)</f>
        <v>0</v>
      </c>
      <c r="Y74" s="16">
        <f>IF(AB74=12,J74,0)</f>
        <v>0</v>
      </c>
      <c r="Z74" s="16">
        <f>IF(AB74=21,J74,0)</f>
        <v>0</v>
      </c>
      <c r="AB74" s="16">
        <v>21</v>
      </c>
      <c r="AC74" s="16">
        <f>G74*1</f>
        <v>0</v>
      </c>
      <c r="AD74" s="16">
        <f>G74*(1-1)</f>
        <v>0</v>
      </c>
      <c r="AE74" s="18" t="s">
        <v>71</v>
      </c>
      <c r="AJ74" s="16">
        <f>ROUND(AK74+AL74,2)</f>
        <v>0</v>
      </c>
      <c r="AK74" s="16">
        <f>ROUND(F74*AC74,2)</f>
        <v>0</v>
      </c>
      <c r="AL74" s="16">
        <f>ROUND(F74*AD74,2)</f>
        <v>0</v>
      </c>
      <c r="AM74" s="18" t="s">
        <v>218</v>
      </c>
      <c r="AN74" s="18" t="s">
        <v>219</v>
      </c>
      <c r="AO74" s="11" t="s">
        <v>78</v>
      </c>
      <c r="AQ74" s="16">
        <f>AK74+AL74</f>
        <v>0</v>
      </c>
      <c r="AR74" s="16">
        <f>G74/(100-AS74)*100</f>
        <v>0</v>
      </c>
      <c r="AS74" s="16">
        <v>0</v>
      </c>
      <c r="AT74" s="16">
        <f>75</f>
        <v>75</v>
      </c>
      <c r="AV74" s="16">
        <f>F74*AC74</f>
        <v>0</v>
      </c>
      <c r="AW74" s="16">
        <f>F74*AD74</f>
        <v>0</v>
      </c>
      <c r="AX74" s="16">
        <f>F74*G74</f>
        <v>0</v>
      </c>
      <c r="AY74" s="18" t="s">
        <v>96</v>
      </c>
      <c r="AZ74" s="16">
        <v>16</v>
      </c>
    </row>
    <row r="75" spans="2:52" x14ac:dyDescent="0.25">
      <c r="B75" s="72" t="s">
        <v>226</v>
      </c>
      <c r="C75" s="21" t="s">
        <v>227</v>
      </c>
      <c r="D75" s="42" t="s">
        <v>228</v>
      </c>
      <c r="E75" s="21" t="s">
        <v>171</v>
      </c>
      <c r="F75" s="73">
        <v>6</v>
      </c>
      <c r="G75" s="140">
        <v>0</v>
      </c>
      <c r="H75" s="73">
        <f>ROUND(F75*AC75,2)</f>
        <v>0</v>
      </c>
      <c r="I75" s="73">
        <f>ROUND(F75*AD75,2)</f>
        <v>0</v>
      </c>
      <c r="J75" s="87">
        <f>ROUND(F75*G75,2)</f>
        <v>0</v>
      </c>
      <c r="K75" s="40"/>
      <c r="L75" s="17" t="s">
        <v>95</v>
      </c>
      <c r="N75" s="16">
        <f>ROUND(IF(AE75="5",AX75,0),2)</f>
        <v>0</v>
      </c>
      <c r="P75" s="16">
        <f>ROUND(IF(AE75="1",AV75,0),2)</f>
        <v>0</v>
      </c>
      <c r="Q75" s="16">
        <f>ROUND(IF(AE75="1",AW75,0),2)</f>
        <v>0</v>
      </c>
      <c r="R75" s="16">
        <f>ROUND(IF(AE75="7",AV75,0),2)</f>
        <v>0</v>
      </c>
      <c r="S75" s="16">
        <f>ROUND(IF(AE75="7",AW75,0),2)</f>
        <v>0</v>
      </c>
      <c r="T75" s="16">
        <f>ROUND(IF(AE75="2",AV75,0),2)</f>
        <v>0</v>
      </c>
      <c r="U75" s="16">
        <f>ROUND(IF(AE75="2",AW75,0),2)</f>
        <v>0</v>
      </c>
      <c r="V75" s="16">
        <f>ROUND(IF(AE75="0",AX75,0),2)</f>
        <v>0</v>
      </c>
      <c r="W75" s="11" t="s">
        <v>3</v>
      </c>
      <c r="X75" s="16">
        <f>IF(AB75=0,J75,0)</f>
        <v>0</v>
      </c>
      <c r="Y75" s="16">
        <f>IF(AB75=12,J75,0)</f>
        <v>0</v>
      </c>
      <c r="Z75" s="16">
        <f>IF(AB75=21,J75,0)</f>
        <v>0</v>
      </c>
      <c r="AB75" s="16">
        <v>21</v>
      </c>
      <c r="AC75" s="16">
        <f>G75*0</f>
        <v>0</v>
      </c>
      <c r="AD75" s="16">
        <f>G75*(1-0)</f>
        <v>0</v>
      </c>
      <c r="AE75" s="18" t="s">
        <v>71</v>
      </c>
      <c r="AJ75" s="16">
        <f>ROUND(AK75+AL75,2)</f>
        <v>0</v>
      </c>
      <c r="AK75" s="16">
        <f>ROUND(F75*AC75,2)</f>
        <v>0</v>
      </c>
      <c r="AL75" s="16">
        <f>ROUND(F75*AD75,2)</f>
        <v>0</v>
      </c>
      <c r="AM75" s="18" t="s">
        <v>218</v>
      </c>
      <c r="AN75" s="18" t="s">
        <v>219</v>
      </c>
      <c r="AO75" s="11" t="s">
        <v>78</v>
      </c>
      <c r="AQ75" s="16">
        <f>AK75+AL75</f>
        <v>0</v>
      </c>
      <c r="AR75" s="16">
        <f>G75/(100-AS75)*100</f>
        <v>0</v>
      </c>
      <c r="AS75" s="16">
        <v>0</v>
      </c>
      <c r="AT75" s="16">
        <f>76</f>
        <v>76</v>
      </c>
      <c r="AV75" s="16">
        <f>F75*AC75</f>
        <v>0</v>
      </c>
      <c r="AW75" s="16">
        <f>F75*AD75</f>
        <v>0</v>
      </c>
      <c r="AX75" s="16">
        <f>F75*G75</f>
        <v>0</v>
      </c>
      <c r="AY75" s="18" t="s">
        <v>79</v>
      </c>
      <c r="AZ75" s="16">
        <v>16</v>
      </c>
    </row>
    <row r="76" spans="2:52" x14ac:dyDescent="0.25">
      <c r="B76" s="72" t="s">
        <v>229</v>
      </c>
      <c r="C76" s="21" t="s">
        <v>230</v>
      </c>
      <c r="D76" s="42" t="s">
        <v>231</v>
      </c>
      <c r="E76" s="21" t="s">
        <v>171</v>
      </c>
      <c r="F76" s="73">
        <v>1</v>
      </c>
      <c r="G76" s="140">
        <v>0</v>
      </c>
      <c r="H76" s="73">
        <f>ROUND(F76*AC76,2)</f>
        <v>0</v>
      </c>
      <c r="I76" s="73">
        <f>ROUND(F76*AD76,2)</f>
        <v>0</v>
      </c>
      <c r="J76" s="87">
        <f>ROUND(F76*G76,2)</f>
        <v>0</v>
      </c>
      <c r="K76" s="40"/>
      <c r="L76" s="17" t="s">
        <v>95</v>
      </c>
      <c r="N76" s="16">
        <f>ROUND(IF(AE76="5",AX76,0),2)</f>
        <v>0</v>
      </c>
      <c r="P76" s="16">
        <f>ROUND(IF(AE76="1",AV76,0),2)</f>
        <v>0</v>
      </c>
      <c r="Q76" s="16">
        <f>ROUND(IF(AE76="1",AW76,0),2)</f>
        <v>0</v>
      </c>
      <c r="R76" s="16">
        <f>ROUND(IF(AE76="7",AV76,0),2)</f>
        <v>0</v>
      </c>
      <c r="S76" s="16">
        <f>ROUND(IF(AE76="7",AW76,0),2)</f>
        <v>0</v>
      </c>
      <c r="T76" s="16">
        <f>ROUND(IF(AE76="2",AV76,0),2)</f>
        <v>0</v>
      </c>
      <c r="U76" s="16">
        <f>ROUND(IF(AE76="2",AW76,0),2)</f>
        <v>0</v>
      </c>
      <c r="V76" s="16">
        <f>ROUND(IF(AE76="0",AX76,0),2)</f>
        <v>0</v>
      </c>
      <c r="W76" s="11" t="s">
        <v>3</v>
      </c>
      <c r="X76" s="16">
        <f>IF(AB76=0,J76,0)</f>
        <v>0</v>
      </c>
      <c r="Y76" s="16">
        <f>IF(AB76=12,J76,0)</f>
        <v>0</v>
      </c>
      <c r="Z76" s="16">
        <f>IF(AB76=21,J76,0)</f>
        <v>0</v>
      </c>
      <c r="AB76" s="16">
        <v>21</v>
      </c>
      <c r="AC76" s="16">
        <f>G76*0</f>
        <v>0</v>
      </c>
      <c r="AD76" s="16">
        <f>G76*(1-0)</f>
        <v>0</v>
      </c>
      <c r="AE76" s="18" t="s">
        <v>71</v>
      </c>
      <c r="AJ76" s="16">
        <f>ROUND(AK76+AL76,2)</f>
        <v>0</v>
      </c>
      <c r="AK76" s="16">
        <f>ROUND(F76*AC76,2)</f>
        <v>0</v>
      </c>
      <c r="AL76" s="16">
        <f>ROUND(F76*AD76,2)</f>
        <v>0</v>
      </c>
      <c r="AM76" s="18" t="s">
        <v>218</v>
      </c>
      <c r="AN76" s="18" t="s">
        <v>219</v>
      </c>
      <c r="AO76" s="11" t="s">
        <v>78</v>
      </c>
      <c r="AQ76" s="16">
        <f>AK76+AL76</f>
        <v>0</v>
      </c>
      <c r="AR76" s="16">
        <f>G76/(100-AS76)*100</f>
        <v>0</v>
      </c>
      <c r="AS76" s="16">
        <v>0</v>
      </c>
      <c r="AT76" s="16">
        <f>77</f>
        <v>77</v>
      </c>
      <c r="AV76" s="16">
        <f>F76*AC76</f>
        <v>0</v>
      </c>
      <c r="AW76" s="16">
        <f>F76*AD76</f>
        <v>0</v>
      </c>
      <c r="AX76" s="16">
        <f>F76*G76</f>
        <v>0</v>
      </c>
      <c r="AY76" s="18" t="s">
        <v>79</v>
      </c>
      <c r="AZ76" s="16">
        <v>16</v>
      </c>
    </row>
    <row r="77" spans="2:52" x14ac:dyDescent="0.25">
      <c r="B77" s="76" t="s">
        <v>3</v>
      </c>
      <c r="C77" s="45" t="s">
        <v>211</v>
      </c>
      <c r="D77" s="46" t="s">
        <v>232</v>
      </c>
      <c r="E77" s="47" t="s">
        <v>40</v>
      </c>
      <c r="F77" s="47" t="s">
        <v>40</v>
      </c>
      <c r="G77" s="142" t="s">
        <v>40</v>
      </c>
      <c r="H77" s="33">
        <f>SUM(H78:H82)</f>
        <v>0</v>
      </c>
      <c r="I77" s="33">
        <f>SUM(I78:I82)</f>
        <v>0</v>
      </c>
      <c r="J77" s="77">
        <f>SUM(J78:J82)</f>
        <v>0</v>
      </c>
      <c r="K77" s="36"/>
      <c r="L77" s="15" t="s">
        <v>3</v>
      </c>
      <c r="W77" s="11" t="s">
        <v>3</v>
      </c>
      <c r="AG77" s="9">
        <f>SUM(X78:X82)</f>
        <v>0</v>
      </c>
      <c r="AH77" s="9">
        <f>SUM(Y78:Y82)</f>
        <v>0</v>
      </c>
      <c r="AI77" s="9">
        <f>SUM(Z78:Z82)</f>
        <v>0</v>
      </c>
    </row>
    <row r="78" spans="2:52" ht="15" customHeight="1" x14ac:dyDescent="0.25">
      <c r="B78" s="72" t="s">
        <v>233</v>
      </c>
      <c r="C78" s="21" t="s">
        <v>234</v>
      </c>
      <c r="D78" s="42" t="s">
        <v>235</v>
      </c>
      <c r="E78" s="21" t="s">
        <v>126</v>
      </c>
      <c r="F78" s="73">
        <v>20</v>
      </c>
      <c r="G78" s="140">
        <v>0</v>
      </c>
      <c r="H78" s="73">
        <f>ROUND(F78*AC78,2)</f>
        <v>0</v>
      </c>
      <c r="I78" s="73">
        <f>ROUND(F78*AD78,2)</f>
        <v>0</v>
      </c>
      <c r="J78" s="87">
        <f>ROUND(F78*G78,2)</f>
        <v>0</v>
      </c>
      <c r="K78" s="40"/>
      <c r="L78" s="17" t="s">
        <v>3</v>
      </c>
      <c r="N78" s="16">
        <f>ROUND(IF(AE78="5",AX78,0),2)</f>
        <v>0</v>
      </c>
      <c r="P78" s="16">
        <f>ROUND(IF(AE78="1",AV78,0),2)</f>
        <v>0</v>
      </c>
      <c r="Q78" s="16">
        <f>ROUND(IF(AE78="1",AW78,0),2)</f>
        <v>0</v>
      </c>
      <c r="R78" s="16">
        <f>ROUND(IF(AE78="7",AV78,0),2)</f>
        <v>0</v>
      </c>
      <c r="S78" s="16">
        <f>ROUND(IF(AE78="7",AW78,0),2)</f>
        <v>0</v>
      </c>
      <c r="T78" s="16">
        <f>ROUND(IF(AE78="2",AV78,0),2)</f>
        <v>0</v>
      </c>
      <c r="U78" s="16">
        <f>ROUND(IF(AE78="2",AW78,0),2)</f>
        <v>0</v>
      </c>
      <c r="V78" s="16">
        <f>ROUND(IF(AE78="0",AX78,0),2)</f>
        <v>0</v>
      </c>
      <c r="W78" s="11" t="s">
        <v>3</v>
      </c>
      <c r="X78" s="16">
        <f>IF(AB78=0,J78,0)</f>
        <v>0</v>
      </c>
      <c r="Y78" s="16">
        <f>IF(AB78=12,J78,0)</f>
        <v>0</v>
      </c>
      <c r="Z78" s="16">
        <f>IF(AB78=21,J78,0)</f>
        <v>0</v>
      </c>
      <c r="AB78" s="16">
        <v>21</v>
      </c>
      <c r="AC78" s="16">
        <f>G78*0.32814433</f>
        <v>0</v>
      </c>
      <c r="AD78" s="16">
        <f>G78*(1-0.32814433)</f>
        <v>0</v>
      </c>
      <c r="AE78" s="18" t="s">
        <v>71</v>
      </c>
      <c r="AJ78" s="16">
        <f>ROUND(AK78+AL78,2)</f>
        <v>0</v>
      </c>
      <c r="AK78" s="16">
        <f>ROUND(F78*AC78,2)</f>
        <v>0</v>
      </c>
      <c r="AL78" s="16">
        <f>ROUND(F78*AD78,2)</f>
        <v>0</v>
      </c>
      <c r="AM78" s="18" t="s">
        <v>236</v>
      </c>
      <c r="AN78" s="18" t="s">
        <v>121</v>
      </c>
      <c r="AO78" s="11" t="s">
        <v>78</v>
      </c>
      <c r="AQ78" s="16">
        <f>AK78+AL78</f>
        <v>0</v>
      </c>
      <c r="AR78" s="16">
        <f>G78/(100-AS78)*100</f>
        <v>0</v>
      </c>
      <c r="AS78" s="16">
        <v>0</v>
      </c>
      <c r="AT78" s="16">
        <f>79</f>
        <v>79</v>
      </c>
      <c r="AV78" s="16">
        <f>F78*AC78</f>
        <v>0</v>
      </c>
      <c r="AW78" s="16">
        <f>F78*AD78</f>
        <v>0</v>
      </c>
      <c r="AX78" s="16">
        <f>F78*G78</f>
        <v>0</v>
      </c>
      <c r="AY78" s="18" t="s">
        <v>79</v>
      </c>
      <c r="AZ78" s="16">
        <v>37</v>
      </c>
    </row>
    <row r="79" spans="2:52" ht="15" customHeight="1" x14ac:dyDescent="0.25">
      <c r="B79" s="72" t="s">
        <v>237</v>
      </c>
      <c r="C79" s="21" t="s">
        <v>238</v>
      </c>
      <c r="D79" s="42" t="s">
        <v>239</v>
      </c>
      <c r="E79" s="21" t="s">
        <v>240</v>
      </c>
      <c r="F79" s="73">
        <v>15</v>
      </c>
      <c r="G79" s="140">
        <v>0</v>
      </c>
      <c r="H79" s="73">
        <f>ROUND(F79*AC79,2)</f>
        <v>0</v>
      </c>
      <c r="I79" s="73">
        <f>ROUND(F79*AD79,2)</f>
        <v>0</v>
      </c>
      <c r="J79" s="87">
        <f>ROUND(F79*G79,2)</f>
        <v>0</v>
      </c>
      <c r="K79" s="40"/>
      <c r="L79" s="17" t="s">
        <v>3</v>
      </c>
      <c r="N79" s="16">
        <f>ROUND(IF(AE79="5",AX79,0),2)</f>
        <v>0</v>
      </c>
      <c r="P79" s="16">
        <f>ROUND(IF(AE79="1",AV79,0),2)</f>
        <v>0</v>
      </c>
      <c r="Q79" s="16">
        <f>ROUND(IF(AE79="1",AW79,0),2)</f>
        <v>0</v>
      </c>
      <c r="R79" s="16">
        <f>ROUND(IF(AE79="7",AV79,0),2)</f>
        <v>0</v>
      </c>
      <c r="S79" s="16">
        <f>ROUND(IF(AE79="7",AW79,0),2)</f>
        <v>0</v>
      </c>
      <c r="T79" s="16">
        <f>ROUND(IF(AE79="2",AV79,0),2)</f>
        <v>0</v>
      </c>
      <c r="U79" s="16">
        <f>ROUND(IF(AE79="2",AW79,0),2)</f>
        <v>0</v>
      </c>
      <c r="V79" s="16">
        <f>ROUND(IF(AE79="0",AX79,0),2)</f>
        <v>0</v>
      </c>
      <c r="W79" s="11" t="s">
        <v>3</v>
      </c>
      <c r="X79" s="16">
        <f>IF(AB79=0,J79,0)</f>
        <v>0</v>
      </c>
      <c r="Y79" s="16">
        <f>IF(AB79=12,J79,0)</f>
        <v>0</v>
      </c>
      <c r="Z79" s="16">
        <f>IF(AB79=21,J79,0)</f>
        <v>0</v>
      </c>
      <c r="AB79" s="16">
        <v>21</v>
      </c>
      <c r="AC79" s="16">
        <f>G79*0.328243902</f>
        <v>0</v>
      </c>
      <c r="AD79" s="16">
        <f>G79*(1-0.328243902)</f>
        <v>0</v>
      </c>
      <c r="AE79" s="18" t="s">
        <v>71</v>
      </c>
      <c r="AJ79" s="16">
        <f>ROUND(AK79+AL79,2)</f>
        <v>0</v>
      </c>
      <c r="AK79" s="16">
        <f>ROUND(F79*AC79,2)</f>
        <v>0</v>
      </c>
      <c r="AL79" s="16">
        <f>ROUND(F79*AD79,2)</f>
        <v>0</v>
      </c>
      <c r="AM79" s="18" t="s">
        <v>236</v>
      </c>
      <c r="AN79" s="18" t="s">
        <v>121</v>
      </c>
      <c r="AO79" s="11" t="s">
        <v>78</v>
      </c>
      <c r="AQ79" s="16">
        <f>AK79+AL79</f>
        <v>0</v>
      </c>
      <c r="AR79" s="16">
        <f>G79/(100-AS79)*100</f>
        <v>0</v>
      </c>
      <c r="AS79" s="16">
        <v>0</v>
      </c>
      <c r="AT79" s="16">
        <f>80</f>
        <v>80</v>
      </c>
      <c r="AV79" s="16">
        <f>F79*AC79</f>
        <v>0</v>
      </c>
      <c r="AW79" s="16">
        <f>F79*AD79</f>
        <v>0</v>
      </c>
      <c r="AX79" s="16">
        <f>F79*G79</f>
        <v>0</v>
      </c>
      <c r="AY79" s="18" t="s">
        <v>79</v>
      </c>
      <c r="AZ79" s="16">
        <v>37</v>
      </c>
    </row>
    <row r="80" spans="2:52" x14ac:dyDescent="0.25">
      <c r="B80" s="72" t="s">
        <v>241</v>
      </c>
      <c r="C80" s="21" t="s">
        <v>242</v>
      </c>
      <c r="D80" s="42" t="s">
        <v>243</v>
      </c>
      <c r="E80" s="21" t="s">
        <v>244</v>
      </c>
      <c r="F80" s="73">
        <v>15</v>
      </c>
      <c r="G80" s="140">
        <v>0</v>
      </c>
      <c r="H80" s="73">
        <f>ROUND(F80*AC80,2)</f>
        <v>0</v>
      </c>
      <c r="I80" s="73">
        <f>ROUND(F80*AD80,2)</f>
        <v>0</v>
      </c>
      <c r="J80" s="87">
        <f>ROUND(F80*G80,2)</f>
        <v>0</v>
      </c>
      <c r="K80" s="40"/>
      <c r="L80" s="17" t="s">
        <v>3</v>
      </c>
      <c r="N80" s="16">
        <f>ROUND(IF(AE80="5",AX80,0),2)</f>
        <v>0</v>
      </c>
      <c r="P80" s="16">
        <f>ROUND(IF(AE80="1",AV80,0),2)</f>
        <v>0</v>
      </c>
      <c r="Q80" s="16">
        <f>ROUND(IF(AE80="1",AW80,0),2)</f>
        <v>0</v>
      </c>
      <c r="R80" s="16">
        <f>ROUND(IF(AE80="7",AV80,0),2)</f>
        <v>0</v>
      </c>
      <c r="S80" s="16">
        <f>ROUND(IF(AE80="7",AW80,0),2)</f>
        <v>0</v>
      </c>
      <c r="T80" s="16">
        <f>ROUND(IF(AE80="2",AV80,0),2)</f>
        <v>0</v>
      </c>
      <c r="U80" s="16">
        <f>ROUND(IF(AE80="2",AW80,0),2)</f>
        <v>0</v>
      </c>
      <c r="V80" s="16">
        <f>ROUND(IF(AE80="0",AX80,0),2)</f>
        <v>0</v>
      </c>
      <c r="W80" s="11" t="s">
        <v>3</v>
      </c>
      <c r="X80" s="16">
        <f>IF(AB80=0,J80,0)</f>
        <v>0</v>
      </c>
      <c r="Y80" s="16">
        <f>IF(AB80=12,J80,0)</f>
        <v>0</v>
      </c>
      <c r="Z80" s="16">
        <f>IF(AB80=21,J80,0)</f>
        <v>0</v>
      </c>
      <c r="AB80" s="16">
        <v>21</v>
      </c>
      <c r="AC80" s="16">
        <f>G80*0.297765315</f>
        <v>0</v>
      </c>
      <c r="AD80" s="16">
        <f>G80*(1-0.297765315)</f>
        <v>0</v>
      </c>
      <c r="AE80" s="18" t="s">
        <v>71</v>
      </c>
      <c r="AJ80" s="16">
        <f>ROUND(AK80+AL80,2)</f>
        <v>0</v>
      </c>
      <c r="AK80" s="16">
        <f>ROUND(F80*AC80,2)</f>
        <v>0</v>
      </c>
      <c r="AL80" s="16">
        <f>ROUND(F80*AD80,2)</f>
        <v>0</v>
      </c>
      <c r="AM80" s="18" t="s">
        <v>236</v>
      </c>
      <c r="AN80" s="18" t="s">
        <v>121</v>
      </c>
      <c r="AO80" s="11" t="s">
        <v>78</v>
      </c>
      <c r="AQ80" s="16">
        <f>AK80+AL80</f>
        <v>0</v>
      </c>
      <c r="AR80" s="16">
        <f>G80/(100-AS80)*100</f>
        <v>0</v>
      </c>
      <c r="AS80" s="16">
        <v>0</v>
      </c>
      <c r="AT80" s="16">
        <f>81</f>
        <v>81</v>
      </c>
      <c r="AV80" s="16">
        <f>F80*AC80</f>
        <v>0</v>
      </c>
      <c r="AW80" s="16">
        <f>F80*AD80</f>
        <v>0</v>
      </c>
      <c r="AX80" s="16">
        <f>F80*G80</f>
        <v>0</v>
      </c>
      <c r="AY80" s="18" t="s">
        <v>79</v>
      </c>
      <c r="AZ80" s="16">
        <v>37</v>
      </c>
    </row>
    <row r="81" spans="2:52" ht="15" customHeight="1" x14ac:dyDescent="0.25">
      <c r="B81" s="72" t="s">
        <v>245</v>
      </c>
      <c r="C81" s="21" t="s">
        <v>246</v>
      </c>
      <c r="D81" s="42" t="s">
        <v>247</v>
      </c>
      <c r="E81" s="21" t="s">
        <v>240</v>
      </c>
      <c r="F81" s="73">
        <v>15</v>
      </c>
      <c r="G81" s="140">
        <v>0</v>
      </c>
      <c r="H81" s="73">
        <f>ROUND(F81*AC81,2)</f>
        <v>0</v>
      </c>
      <c r="I81" s="73">
        <f>ROUND(F81*AD81,2)</f>
        <v>0</v>
      </c>
      <c r="J81" s="87">
        <f>ROUND(F81*G81,2)</f>
        <v>0</v>
      </c>
      <c r="K81" s="40"/>
      <c r="L81" s="17" t="s">
        <v>3</v>
      </c>
      <c r="N81" s="16">
        <f>ROUND(IF(AE81="5",AX81,0),2)</f>
        <v>0</v>
      </c>
      <c r="P81" s="16">
        <f>ROUND(IF(AE81="1",AV81,0),2)</f>
        <v>0</v>
      </c>
      <c r="Q81" s="16">
        <f>ROUND(IF(AE81="1",AW81,0),2)</f>
        <v>0</v>
      </c>
      <c r="R81" s="16">
        <f>ROUND(IF(AE81="7",AV81,0),2)</f>
        <v>0</v>
      </c>
      <c r="S81" s="16">
        <f>ROUND(IF(AE81="7",AW81,0),2)</f>
        <v>0</v>
      </c>
      <c r="T81" s="16">
        <f>ROUND(IF(AE81="2",AV81,0),2)</f>
        <v>0</v>
      </c>
      <c r="U81" s="16">
        <f>ROUND(IF(AE81="2",AW81,0),2)</f>
        <v>0</v>
      </c>
      <c r="V81" s="16">
        <f>ROUND(IF(AE81="0",AX81,0),2)</f>
        <v>0</v>
      </c>
      <c r="W81" s="11" t="s">
        <v>3</v>
      </c>
      <c r="X81" s="16">
        <f>IF(AB81=0,J81,0)</f>
        <v>0</v>
      </c>
      <c r="Y81" s="16">
        <f>IF(AB81=12,J81,0)</f>
        <v>0</v>
      </c>
      <c r="Z81" s="16">
        <f>IF(AB81=21,J81,0)</f>
        <v>0</v>
      </c>
      <c r="AB81" s="16">
        <v>21</v>
      </c>
      <c r="AC81" s="16">
        <f>G81*0.328281623</f>
        <v>0</v>
      </c>
      <c r="AD81" s="16">
        <f>G81*(1-0.328281623)</f>
        <v>0</v>
      </c>
      <c r="AE81" s="18" t="s">
        <v>71</v>
      </c>
      <c r="AJ81" s="16">
        <f>ROUND(AK81+AL81,2)</f>
        <v>0</v>
      </c>
      <c r="AK81" s="16">
        <f>ROUND(F81*AC81,2)</f>
        <v>0</v>
      </c>
      <c r="AL81" s="16">
        <f>ROUND(F81*AD81,2)</f>
        <v>0</v>
      </c>
      <c r="AM81" s="18" t="s">
        <v>236</v>
      </c>
      <c r="AN81" s="18" t="s">
        <v>121</v>
      </c>
      <c r="AO81" s="11" t="s">
        <v>78</v>
      </c>
      <c r="AQ81" s="16">
        <f>AK81+AL81</f>
        <v>0</v>
      </c>
      <c r="AR81" s="16">
        <f>G81/(100-AS81)*100</f>
        <v>0</v>
      </c>
      <c r="AS81" s="16">
        <v>0</v>
      </c>
      <c r="AT81" s="16">
        <f>82</f>
        <v>82</v>
      </c>
      <c r="AV81" s="16">
        <f>F81*AC81</f>
        <v>0</v>
      </c>
      <c r="AW81" s="16">
        <f>F81*AD81</f>
        <v>0</v>
      </c>
      <c r="AX81" s="16">
        <f>F81*G81</f>
        <v>0</v>
      </c>
      <c r="AY81" s="18" t="s">
        <v>79</v>
      </c>
      <c r="AZ81" s="16">
        <v>37</v>
      </c>
    </row>
    <row r="82" spans="2:52" ht="15" customHeight="1" x14ac:dyDescent="0.25">
      <c r="B82" s="72" t="s">
        <v>248</v>
      </c>
      <c r="C82" s="21" t="s">
        <v>249</v>
      </c>
      <c r="D82" s="42" t="s">
        <v>250</v>
      </c>
      <c r="E82" s="21" t="s">
        <v>240</v>
      </c>
      <c r="F82" s="73">
        <v>15</v>
      </c>
      <c r="G82" s="140">
        <v>0</v>
      </c>
      <c r="H82" s="73">
        <f>ROUND(F82*AC82,2)</f>
        <v>0</v>
      </c>
      <c r="I82" s="73">
        <f>ROUND(F82*AD82,2)</f>
        <v>0</v>
      </c>
      <c r="J82" s="87">
        <f>ROUND(F82*G82,2)</f>
        <v>0</v>
      </c>
      <c r="K82" s="40"/>
      <c r="L82" s="17" t="s">
        <v>3</v>
      </c>
      <c r="N82" s="16">
        <f>ROUND(IF(AE82="5",AX82,0),2)</f>
        <v>0</v>
      </c>
      <c r="P82" s="16">
        <f>ROUND(IF(AE82="1",AV82,0),2)</f>
        <v>0</v>
      </c>
      <c r="Q82" s="16">
        <f>ROUND(IF(AE82="1",AW82,0),2)</f>
        <v>0</v>
      </c>
      <c r="R82" s="16">
        <f>ROUND(IF(AE82="7",AV82,0),2)</f>
        <v>0</v>
      </c>
      <c r="S82" s="16">
        <f>ROUND(IF(AE82="7",AW82,0),2)</f>
        <v>0</v>
      </c>
      <c r="T82" s="16">
        <f>ROUND(IF(AE82="2",AV82,0),2)</f>
        <v>0</v>
      </c>
      <c r="U82" s="16">
        <f>ROUND(IF(AE82="2",AW82,0),2)</f>
        <v>0</v>
      </c>
      <c r="V82" s="16">
        <f>ROUND(IF(AE82="0",AX82,0),2)</f>
        <v>0</v>
      </c>
      <c r="W82" s="11" t="s">
        <v>3</v>
      </c>
      <c r="X82" s="16">
        <f>IF(AB82=0,J82,0)</f>
        <v>0</v>
      </c>
      <c r="Y82" s="16">
        <f>IF(AB82=12,J82,0)</f>
        <v>0</v>
      </c>
      <c r="Z82" s="16">
        <f>IF(AB82=21,J82,0)</f>
        <v>0</v>
      </c>
      <c r="AB82" s="16">
        <v>21</v>
      </c>
      <c r="AC82" s="16">
        <f>G82*0.328221344</f>
        <v>0</v>
      </c>
      <c r="AD82" s="16">
        <f>G82*(1-0.328221344)</f>
        <v>0</v>
      </c>
      <c r="AE82" s="18" t="s">
        <v>71</v>
      </c>
      <c r="AJ82" s="16">
        <f>ROUND(AK82+AL82,2)</f>
        <v>0</v>
      </c>
      <c r="AK82" s="16">
        <f>ROUND(F82*AC82,2)</f>
        <v>0</v>
      </c>
      <c r="AL82" s="16">
        <f>ROUND(F82*AD82,2)</f>
        <v>0</v>
      </c>
      <c r="AM82" s="18" t="s">
        <v>236</v>
      </c>
      <c r="AN82" s="18" t="s">
        <v>121</v>
      </c>
      <c r="AO82" s="11" t="s">
        <v>78</v>
      </c>
      <c r="AQ82" s="16">
        <f>AK82+AL82</f>
        <v>0</v>
      </c>
      <c r="AR82" s="16">
        <f>G82/(100-AS82)*100</f>
        <v>0</v>
      </c>
      <c r="AS82" s="16">
        <v>0</v>
      </c>
      <c r="AT82" s="16">
        <f>83</f>
        <v>83</v>
      </c>
      <c r="AV82" s="16">
        <f>F82*AC82</f>
        <v>0</v>
      </c>
      <c r="AW82" s="16">
        <f>F82*AD82</f>
        <v>0</v>
      </c>
      <c r="AX82" s="16">
        <f>F82*G82</f>
        <v>0</v>
      </c>
      <c r="AY82" s="18" t="s">
        <v>79</v>
      </c>
      <c r="AZ82" s="16">
        <v>37</v>
      </c>
    </row>
    <row r="83" spans="2:52" x14ac:dyDescent="0.25">
      <c r="B83" s="76" t="s">
        <v>3</v>
      </c>
      <c r="C83" s="45" t="s">
        <v>251</v>
      </c>
      <c r="D83" s="46" t="s">
        <v>252</v>
      </c>
      <c r="E83" s="47" t="s">
        <v>40</v>
      </c>
      <c r="F83" s="47" t="s">
        <v>40</v>
      </c>
      <c r="G83" s="142" t="s">
        <v>40</v>
      </c>
      <c r="H83" s="33">
        <f>SUM(H84:H88)</f>
        <v>0</v>
      </c>
      <c r="I83" s="33">
        <f>SUM(I84:I88)</f>
        <v>0</v>
      </c>
      <c r="J83" s="77">
        <f>SUM(J84:J88)</f>
        <v>0</v>
      </c>
      <c r="K83" s="36"/>
      <c r="L83" s="15" t="s">
        <v>3</v>
      </c>
      <c r="W83" s="11" t="s">
        <v>3</v>
      </c>
      <c r="AG83" s="9">
        <f>SUM(X84:X88)</f>
        <v>0</v>
      </c>
      <c r="AH83" s="9">
        <f>SUM(Y84:Y88)</f>
        <v>0</v>
      </c>
      <c r="AI83" s="9">
        <f>SUM(Z84:Z88)</f>
        <v>0</v>
      </c>
    </row>
    <row r="84" spans="2:52" ht="15" customHeight="1" x14ac:dyDescent="0.25">
      <c r="B84" s="72" t="s">
        <v>253</v>
      </c>
      <c r="C84" s="21" t="s">
        <v>254</v>
      </c>
      <c r="D84" s="42" t="s">
        <v>255</v>
      </c>
      <c r="E84" s="21" t="s">
        <v>126</v>
      </c>
      <c r="F84" s="73">
        <v>1</v>
      </c>
      <c r="G84" s="140">
        <v>0</v>
      </c>
      <c r="H84" s="73">
        <f>ROUND(F84*AC84,2)</f>
        <v>0</v>
      </c>
      <c r="I84" s="73">
        <f>ROUND(F84*AD84,2)</f>
        <v>0</v>
      </c>
      <c r="J84" s="87">
        <f>ROUND(F84*G84,2)</f>
        <v>0</v>
      </c>
      <c r="K84" s="40"/>
      <c r="L84" s="17" t="s">
        <v>3</v>
      </c>
      <c r="N84" s="16">
        <f>ROUND(IF(AE84="5",AX84,0),2)</f>
        <v>0</v>
      </c>
      <c r="P84" s="16">
        <f>ROUND(IF(AE84="1",AV84,0),2)</f>
        <v>0</v>
      </c>
      <c r="Q84" s="16">
        <f>ROUND(IF(AE84="1",AW84,0),2)</f>
        <v>0</v>
      </c>
      <c r="R84" s="16">
        <f>ROUND(IF(AE84="7",AV84,0),2)</f>
        <v>0</v>
      </c>
      <c r="S84" s="16">
        <f>ROUND(IF(AE84="7",AW84,0),2)</f>
        <v>0</v>
      </c>
      <c r="T84" s="16">
        <f>ROUND(IF(AE84="2",AV84,0),2)</f>
        <v>0</v>
      </c>
      <c r="U84" s="16">
        <f>ROUND(IF(AE84="2",AW84,0),2)</f>
        <v>0</v>
      </c>
      <c r="V84" s="16">
        <f>ROUND(IF(AE84="0",AX84,0),2)</f>
        <v>0</v>
      </c>
      <c r="W84" s="11" t="s">
        <v>3</v>
      </c>
      <c r="X84" s="16">
        <f>IF(AB84=0,J84,0)</f>
        <v>0</v>
      </c>
      <c r="Y84" s="16">
        <f>IF(AB84=12,J84,0)</f>
        <v>0</v>
      </c>
      <c r="Z84" s="16">
        <f>IF(AB84=21,J84,0)</f>
        <v>0</v>
      </c>
      <c r="AB84" s="16">
        <v>21</v>
      </c>
      <c r="AC84" s="16">
        <f>G84*1</f>
        <v>0</v>
      </c>
      <c r="AD84" s="16">
        <f>G84*(1-1)</f>
        <v>0</v>
      </c>
      <c r="AE84" s="18" t="s">
        <v>71</v>
      </c>
      <c r="AJ84" s="16">
        <f>ROUND(AK84+AL84,2)</f>
        <v>0</v>
      </c>
      <c r="AK84" s="16">
        <f>ROUND(F84*AC84,2)</f>
        <v>0</v>
      </c>
      <c r="AL84" s="16">
        <f>ROUND(F84*AD84,2)</f>
        <v>0</v>
      </c>
      <c r="AM84" s="18" t="s">
        <v>256</v>
      </c>
      <c r="AN84" s="18" t="s">
        <v>257</v>
      </c>
      <c r="AO84" s="11" t="s">
        <v>78</v>
      </c>
      <c r="AQ84" s="16">
        <f>AK84+AL84</f>
        <v>0</v>
      </c>
      <c r="AR84" s="16">
        <f>G84/(100-AS84)*100</f>
        <v>0</v>
      </c>
      <c r="AS84" s="16">
        <v>0</v>
      </c>
      <c r="AT84" s="16">
        <f>85</f>
        <v>85</v>
      </c>
      <c r="AV84" s="16">
        <f>F84*AC84</f>
        <v>0</v>
      </c>
      <c r="AW84" s="16">
        <f>F84*AD84</f>
        <v>0</v>
      </c>
      <c r="AX84" s="16">
        <f>F84*G84</f>
        <v>0</v>
      </c>
      <c r="AY84" s="18" t="s">
        <v>79</v>
      </c>
      <c r="AZ84" s="16">
        <v>62</v>
      </c>
    </row>
    <row r="85" spans="2:52" ht="40.5" customHeight="1" x14ac:dyDescent="0.25">
      <c r="B85" s="74"/>
      <c r="C85" s="75" t="s">
        <v>122</v>
      </c>
      <c r="D85" s="43" t="s">
        <v>258</v>
      </c>
      <c r="E85" s="43"/>
      <c r="F85" s="43"/>
      <c r="G85" s="141"/>
      <c r="H85" s="43"/>
      <c r="I85" s="43"/>
      <c r="J85" s="88"/>
      <c r="K85" s="43"/>
      <c r="L85" s="44"/>
    </row>
    <row r="86" spans="2:52" x14ac:dyDescent="0.25">
      <c r="B86" s="72" t="s">
        <v>259</v>
      </c>
      <c r="C86" s="21" t="s">
        <v>260</v>
      </c>
      <c r="D86" s="42" t="s">
        <v>261</v>
      </c>
      <c r="E86" s="21" t="s">
        <v>126</v>
      </c>
      <c r="F86" s="73">
        <v>1</v>
      </c>
      <c r="G86" s="140">
        <v>0</v>
      </c>
      <c r="H86" s="73">
        <f>ROUND(F86*AC86,2)</f>
        <v>0</v>
      </c>
      <c r="I86" s="73">
        <f>ROUND(F86*AD86,2)</f>
        <v>0</v>
      </c>
      <c r="J86" s="87">
        <f>ROUND(F86*G86,2)</f>
        <v>0</v>
      </c>
      <c r="K86" s="40"/>
      <c r="L86" s="17" t="s">
        <v>3</v>
      </c>
      <c r="N86" s="16">
        <f>ROUND(IF(AE86="5",AX86,0),2)</f>
        <v>0</v>
      </c>
      <c r="P86" s="16">
        <f>ROUND(IF(AE86="1",AV86,0),2)</f>
        <v>0</v>
      </c>
      <c r="Q86" s="16">
        <f>ROUND(IF(AE86="1",AW86,0),2)</f>
        <v>0</v>
      </c>
      <c r="R86" s="16">
        <f>ROUND(IF(AE86="7",AV86,0),2)</f>
        <v>0</v>
      </c>
      <c r="S86" s="16">
        <f>ROUND(IF(AE86="7",AW86,0),2)</f>
        <v>0</v>
      </c>
      <c r="T86" s="16">
        <f>ROUND(IF(AE86="2",AV86,0),2)</f>
        <v>0</v>
      </c>
      <c r="U86" s="16">
        <f>ROUND(IF(AE86="2",AW86,0),2)</f>
        <v>0</v>
      </c>
      <c r="V86" s="16">
        <f>ROUND(IF(AE86="0",AX86,0),2)</f>
        <v>0</v>
      </c>
      <c r="W86" s="11" t="s">
        <v>3</v>
      </c>
      <c r="X86" s="16">
        <f>IF(AB86=0,J86,0)</f>
        <v>0</v>
      </c>
      <c r="Y86" s="16">
        <f>IF(AB86=12,J86,0)</f>
        <v>0</v>
      </c>
      <c r="Z86" s="16">
        <f>IF(AB86=21,J86,0)</f>
        <v>0</v>
      </c>
      <c r="AB86" s="16">
        <v>21</v>
      </c>
      <c r="AC86" s="16">
        <f>G86*0.328239019</f>
        <v>0</v>
      </c>
      <c r="AD86" s="16">
        <f>G86*(1-0.328239019)</f>
        <v>0</v>
      </c>
      <c r="AE86" s="18" t="s">
        <v>71</v>
      </c>
      <c r="AJ86" s="16">
        <f>ROUND(AK86+AL86,2)</f>
        <v>0</v>
      </c>
      <c r="AK86" s="16">
        <f>ROUND(F86*AC86,2)</f>
        <v>0</v>
      </c>
      <c r="AL86" s="16">
        <f>ROUND(F86*AD86,2)</f>
        <v>0</v>
      </c>
      <c r="AM86" s="18" t="s">
        <v>256</v>
      </c>
      <c r="AN86" s="18" t="s">
        <v>257</v>
      </c>
      <c r="AO86" s="11" t="s">
        <v>78</v>
      </c>
      <c r="AQ86" s="16">
        <f>AK86+AL86</f>
        <v>0</v>
      </c>
      <c r="AR86" s="16">
        <f>G86/(100-AS86)*100</f>
        <v>0</v>
      </c>
      <c r="AS86" s="16">
        <v>0</v>
      </c>
      <c r="AT86" s="16">
        <f>87</f>
        <v>87</v>
      </c>
      <c r="AV86" s="16">
        <f>F86*AC86</f>
        <v>0</v>
      </c>
      <c r="AW86" s="16">
        <f>F86*AD86</f>
        <v>0</v>
      </c>
      <c r="AX86" s="16">
        <f>F86*G86</f>
        <v>0</v>
      </c>
      <c r="AY86" s="18" t="s">
        <v>79</v>
      </c>
      <c r="AZ86" s="16">
        <v>62</v>
      </c>
    </row>
    <row r="87" spans="2:52" ht="15" customHeight="1" x14ac:dyDescent="0.25">
      <c r="B87" s="72" t="s">
        <v>262</v>
      </c>
      <c r="C87" s="21" t="s">
        <v>263</v>
      </c>
      <c r="D87" s="42" t="s">
        <v>264</v>
      </c>
      <c r="E87" s="21" t="s">
        <v>126</v>
      </c>
      <c r="F87" s="73">
        <v>2</v>
      </c>
      <c r="G87" s="140">
        <v>0</v>
      </c>
      <c r="H87" s="73">
        <f>ROUND(F87*AC87,2)</f>
        <v>0</v>
      </c>
      <c r="I87" s="73">
        <f>ROUND(F87*AD87,2)</f>
        <v>0</v>
      </c>
      <c r="J87" s="87">
        <f>ROUND(F87*G87,2)</f>
        <v>0</v>
      </c>
      <c r="K87" s="40"/>
      <c r="L87" s="17" t="s">
        <v>3</v>
      </c>
      <c r="N87" s="16">
        <f>ROUND(IF(AE87="5",AX87,0),2)</f>
        <v>0</v>
      </c>
      <c r="P87" s="16">
        <f>ROUND(IF(AE87="1",AV87,0),2)</f>
        <v>0</v>
      </c>
      <c r="Q87" s="16">
        <f>ROUND(IF(AE87="1",AW87,0),2)</f>
        <v>0</v>
      </c>
      <c r="R87" s="16">
        <f>ROUND(IF(AE87="7",AV87,0),2)</f>
        <v>0</v>
      </c>
      <c r="S87" s="16">
        <f>ROUND(IF(AE87="7",AW87,0),2)</f>
        <v>0</v>
      </c>
      <c r="T87" s="16">
        <f>ROUND(IF(AE87="2",AV87,0),2)</f>
        <v>0</v>
      </c>
      <c r="U87" s="16">
        <f>ROUND(IF(AE87="2",AW87,0),2)</f>
        <v>0</v>
      </c>
      <c r="V87" s="16">
        <f>ROUND(IF(AE87="0",AX87,0),2)</f>
        <v>0</v>
      </c>
      <c r="W87" s="11" t="s">
        <v>3</v>
      </c>
      <c r="X87" s="16">
        <f>IF(AB87=0,J87,0)</f>
        <v>0</v>
      </c>
      <c r="Y87" s="16">
        <f>IF(AB87=12,J87,0)</f>
        <v>0</v>
      </c>
      <c r="Z87" s="16">
        <f>IF(AB87=21,J87,0)</f>
        <v>0</v>
      </c>
      <c r="AB87" s="16">
        <v>21</v>
      </c>
      <c r="AC87" s="16">
        <f>G87*0.910914634</f>
        <v>0</v>
      </c>
      <c r="AD87" s="16">
        <f>G87*(1-0.910914634)</f>
        <v>0</v>
      </c>
      <c r="AE87" s="18" t="s">
        <v>71</v>
      </c>
      <c r="AJ87" s="16">
        <f>ROUND(AK87+AL87,2)</f>
        <v>0</v>
      </c>
      <c r="AK87" s="16">
        <f>ROUND(F87*AC87,2)</f>
        <v>0</v>
      </c>
      <c r="AL87" s="16">
        <f>ROUND(F87*AD87,2)</f>
        <v>0</v>
      </c>
      <c r="AM87" s="18" t="s">
        <v>256</v>
      </c>
      <c r="AN87" s="18" t="s">
        <v>257</v>
      </c>
      <c r="AO87" s="11" t="s">
        <v>78</v>
      </c>
      <c r="AQ87" s="16">
        <f>AK87+AL87</f>
        <v>0</v>
      </c>
      <c r="AR87" s="16">
        <f>G87/(100-AS87)*100</f>
        <v>0</v>
      </c>
      <c r="AS87" s="16">
        <v>0</v>
      </c>
      <c r="AT87" s="16">
        <f>88</f>
        <v>88</v>
      </c>
      <c r="AV87" s="16">
        <f>F87*AC87</f>
        <v>0</v>
      </c>
      <c r="AW87" s="16">
        <f>F87*AD87</f>
        <v>0</v>
      </c>
      <c r="AX87" s="16">
        <f>F87*G87</f>
        <v>0</v>
      </c>
      <c r="AY87" s="18" t="s">
        <v>79</v>
      </c>
      <c r="AZ87" s="16">
        <v>62</v>
      </c>
    </row>
    <row r="88" spans="2:52" ht="15" customHeight="1" x14ac:dyDescent="0.25">
      <c r="B88" s="72" t="s">
        <v>265</v>
      </c>
      <c r="C88" s="21" t="s">
        <v>266</v>
      </c>
      <c r="D88" s="42" t="s">
        <v>267</v>
      </c>
      <c r="E88" s="21" t="s">
        <v>126</v>
      </c>
      <c r="F88" s="73">
        <v>1</v>
      </c>
      <c r="G88" s="140">
        <v>0</v>
      </c>
      <c r="H88" s="73">
        <f>ROUND(F88*AC88,2)</f>
        <v>0</v>
      </c>
      <c r="I88" s="73">
        <f>ROUND(F88*AD88,2)</f>
        <v>0</v>
      </c>
      <c r="J88" s="87">
        <f>ROUND(F88*G88,2)</f>
        <v>0</v>
      </c>
      <c r="K88" s="40"/>
      <c r="L88" s="17" t="s">
        <v>3</v>
      </c>
      <c r="N88" s="16">
        <f>ROUND(IF(AE88="5",AX88,0),2)</f>
        <v>0</v>
      </c>
      <c r="P88" s="16">
        <f>ROUND(IF(AE88="1",AV88,0),2)</f>
        <v>0</v>
      </c>
      <c r="Q88" s="16">
        <f>ROUND(IF(AE88="1",AW88,0),2)</f>
        <v>0</v>
      </c>
      <c r="R88" s="16">
        <f>ROUND(IF(AE88="7",AV88,0),2)</f>
        <v>0</v>
      </c>
      <c r="S88" s="16">
        <f>ROUND(IF(AE88="7",AW88,0),2)</f>
        <v>0</v>
      </c>
      <c r="T88" s="16">
        <f>ROUND(IF(AE88="2",AV88,0),2)</f>
        <v>0</v>
      </c>
      <c r="U88" s="16">
        <f>ROUND(IF(AE88="2",AW88,0),2)</f>
        <v>0</v>
      </c>
      <c r="V88" s="16">
        <f>ROUND(IF(AE88="0",AX88,0),2)</f>
        <v>0</v>
      </c>
      <c r="W88" s="11" t="s">
        <v>3</v>
      </c>
      <c r="X88" s="16">
        <f>IF(AB88=0,J88,0)</f>
        <v>0</v>
      </c>
      <c r="Y88" s="16">
        <f>IF(AB88=12,J88,0)</f>
        <v>0</v>
      </c>
      <c r="Z88" s="16">
        <f>IF(AB88=21,J88,0)</f>
        <v>0</v>
      </c>
      <c r="AB88" s="16">
        <v>21</v>
      </c>
      <c r="AC88" s="16">
        <f>G88*0.910915332</f>
        <v>0</v>
      </c>
      <c r="AD88" s="16">
        <f>G88*(1-0.910915332)</f>
        <v>0</v>
      </c>
      <c r="AE88" s="18" t="s">
        <v>71</v>
      </c>
      <c r="AJ88" s="16">
        <f>ROUND(AK88+AL88,2)</f>
        <v>0</v>
      </c>
      <c r="AK88" s="16">
        <f>ROUND(F88*AC88,2)</f>
        <v>0</v>
      </c>
      <c r="AL88" s="16">
        <f>ROUND(F88*AD88,2)</f>
        <v>0</v>
      </c>
      <c r="AM88" s="18" t="s">
        <v>256</v>
      </c>
      <c r="AN88" s="18" t="s">
        <v>257</v>
      </c>
      <c r="AO88" s="11" t="s">
        <v>78</v>
      </c>
      <c r="AQ88" s="16">
        <f>AK88+AL88</f>
        <v>0</v>
      </c>
      <c r="AR88" s="16">
        <f>G88/(100-AS88)*100</f>
        <v>0</v>
      </c>
      <c r="AS88" s="16">
        <v>0</v>
      </c>
      <c r="AT88" s="16">
        <f>89</f>
        <v>89</v>
      </c>
      <c r="AV88" s="16">
        <f>F88*AC88</f>
        <v>0</v>
      </c>
      <c r="AW88" s="16">
        <f>F88*AD88</f>
        <v>0</v>
      </c>
      <c r="AX88" s="16">
        <f>F88*G88</f>
        <v>0</v>
      </c>
      <c r="AY88" s="18" t="s">
        <v>79</v>
      </c>
      <c r="AZ88" s="16">
        <v>62</v>
      </c>
    </row>
    <row r="89" spans="2:52" ht="13.5" customHeight="1" x14ac:dyDescent="0.25">
      <c r="B89" s="74"/>
      <c r="C89" s="75" t="s">
        <v>122</v>
      </c>
      <c r="D89" s="43" t="s">
        <v>293</v>
      </c>
      <c r="E89" s="43"/>
      <c r="F89" s="43"/>
      <c r="G89" s="141"/>
      <c r="H89" s="43"/>
      <c r="I89" s="43"/>
      <c r="J89" s="88"/>
      <c r="K89" s="43"/>
      <c r="L89" s="44"/>
    </row>
    <row r="90" spans="2:52" x14ac:dyDescent="0.25">
      <c r="B90" s="76" t="s">
        <v>3</v>
      </c>
      <c r="C90" s="45" t="s">
        <v>175</v>
      </c>
      <c r="D90" s="46" t="s">
        <v>25</v>
      </c>
      <c r="E90" s="47" t="s">
        <v>40</v>
      </c>
      <c r="F90" s="47" t="s">
        <v>40</v>
      </c>
      <c r="G90" s="142" t="s">
        <v>40</v>
      </c>
      <c r="H90" s="33">
        <f>SUM(H91:H100)</f>
        <v>0</v>
      </c>
      <c r="I90" s="33">
        <f>SUM(I91:I100)</f>
        <v>0</v>
      </c>
      <c r="J90" s="77">
        <f>SUM(J91:J100)</f>
        <v>0</v>
      </c>
      <c r="K90" s="36"/>
      <c r="L90" s="15" t="s">
        <v>3</v>
      </c>
      <c r="W90" s="11" t="s">
        <v>3</v>
      </c>
      <c r="AG90" s="9">
        <f>SUM(X91:X100)</f>
        <v>0</v>
      </c>
      <c r="AH90" s="9">
        <f>SUM(Y91:Y100)</f>
        <v>0</v>
      </c>
      <c r="AI90" s="9">
        <f>SUM(Z91:Z100)</f>
        <v>0</v>
      </c>
    </row>
    <row r="91" spans="2:52" x14ac:dyDescent="0.25">
      <c r="B91" s="72" t="s">
        <v>268</v>
      </c>
      <c r="C91" s="21" t="s">
        <v>269</v>
      </c>
      <c r="D91" s="42" t="s">
        <v>270</v>
      </c>
      <c r="E91" s="21" t="s">
        <v>271</v>
      </c>
      <c r="F91" s="73">
        <v>29</v>
      </c>
      <c r="G91" s="140">
        <v>0</v>
      </c>
      <c r="H91" s="73">
        <f>ROUND(F91*AC91,2)</f>
        <v>0</v>
      </c>
      <c r="I91" s="73">
        <f>ROUND(F91*AD91,2)</f>
        <v>0</v>
      </c>
      <c r="J91" s="87">
        <f>ROUND(F91*G91,2)</f>
        <v>0</v>
      </c>
      <c r="K91" s="40"/>
      <c r="L91" s="17" t="s">
        <v>95</v>
      </c>
      <c r="N91" s="16">
        <f>ROUND(IF(AE91="5",AX91,0),2)</f>
        <v>0</v>
      </c>
      <c r="P91" s="16">
        <f>ROUND(IF(AE91="1",AV91,0),2)</f>
        <v>0</v>
      </c>
      <c r="Q91" s="16">
        <f>ROUND(IF(AE91="1",AW91,0),2)</f>
        <v>0</v>
      </c>
      <c r="R91" s="16">
        <f>ROUND(IF(AE91="7",AV91,0),2)</f>
        <v>0</v>
      </c>
      <c r="S91" s="16">
        <f>ROUND(IF(AE91="7",AW91,0),2)</f>
        <v>0</v>
      </c>
      <c r="T91" s="16">
        <f>ROUND(IF(AE91="2",AV91,0),2)</f>
        <v>0</v>
      </c>
      <c r="U91" s="16">
        <f>ROUND(IF(AE91="2",AW91,0),2)</f>
        <v>0</v>
      </c>
      <c r="V91" s="16">
        <f>ROUND(IF(AE91="0",AX91,0),2)</f>
        <v>0</v>
      </c>
      <c r="W91" s="11" t="s">
        <v>3</v>
      </c>
      <c r="X91" s="16">
        <f>IF(AB91=0,J91,0)</f>
        <v>0</v>
      </c>
      <c r="Y91" s="16">
        <f>IF(AB91=12,J91,0)</f>
        <v>0</v>
      </c>
      <c r="Z91" s="16">
        <f>IF(AB91=21,J91,0)</f>
        <v>0</v>
      </c>
      <c r="AB91" s="16">
        <v>21</v>
      </c>
      <c r="AC91" s="16">
        <f>G91*0</f>
        <v>0</v>
      </c>
      <c r="AD91" s="16">
        <f>G91*(1-0)</f>
        <v>0</v>
      </c>
      <c r="AE91" s="18" t="s">
        <v>89</v>
      </c>
      <c r="AJ91" s="16">
        <f>ROUND(AK91+AL91,2)</f>
        <v>0</v>
      </c>
      <c r="AK91" s="16">
        <f>ROUND(F91*AC91,2)</f>
        <v>0</v>
      </c>
      <c r="AL91" s="16">
        <f>ROUND(F91*AD91,2)</f>
        <v>0</v>
      </c>
      <c r="AM91" s="18" t="s">
        <v>272</v>
      </c>
      <c r="AN91" s="18" t="s">
        <v>273</v>
      </c>
      <c r="AO91" s="11" t="s">
        <v>78</v>
      </c>
      <c r="AQ91" s="16">
        <f>AK91+AL91</f>
        <v>0</v>
      </c>
      <c r="AR91" s="16">
        <f>G91/(100-AS91)*100</f>
        <v>0</v>
      </c>
      <c r="AS91" s="16">
        <v>0</v>
      </c>
      <c r="AT91" s="16">
        <f>92</f>
        <v>92</v>
      </c>
      <c r="AV91" s="16">
        <f>F91*AC91</f>
        <v>0</v>
      </c>
      <c r="AW91" s="16">
        <f>F91*AD91</f>
        <v>0</v>
      </c>
      <c r="AX91" s="16">
        <f>F91*G91</f>
        <v>0</v>
      </c>
      <c r="AY91" s="18" t="s">
        <v>79</v>
      </c>
      <c r="AZ91" s="16">
        <v>27</v>
      </c>
    </row>
    <row r="92" spans="2:52" x14ac:dyDescent="0.25">
      <c r="B92" s="72" t="s">
        <v>274</v>
      </c>
      <c r="C92" s="21" t="s">
        <v>275</v>
      </c>
      <c r="D92" s="42" t="s">
        <v>276</v>
      </c>
      <c r="E92" s="21" t="s">
        <v>277</v>
      </c>
      <c r="F92" s="73">
        <v>50</v>
      </c>
      <c r="G92" s="140">
        <v>0</v>
      </c>
      <c r="H92" s="73">
        <f>ROUND(F92*AC92,2)</f>
        <v>0</v>
      </c>
      <c r="I92" s="73">
        <f>ROUND(F92*AD92,2)</f>
        <v>0</v>
      </c>
      <c r="J92" s="87">
        <f>ROUND(F92*G92,2)</f>
        <v>0</v>
      </c>
      <c r="K92" s="40"/>
      <c r="L92" s="17" t="s">
        <v>95</v>
      </c>
      <c r="N92" s="16">
        <f>ROUND(IF(AE92="5",AX92,0),2)</f>
        <v>0</v>
      </c>
      <c r="P92" s="16">
        <f>ROUND(IF(AE92="1",AV92,0),2)</f>
        <v>0</v>
      </c>
      <c r="Q92" s="16">
        <f>ROUND(IF(AE92="1",AW92,0),2)</f>
        <v>0</v>
      </c>
      <c r="R92" s="16">
        <f>ROUND(IF(AE92="7",AV92,0),2)</f>
        <v>0</v>
      </c>
      <c r="S92" s="16">
        <f>ROUND(IF(AE92="7",AW92,0),2)</f>
        <v>0</v>
      </c>
      <c r="T92" s="16">
        <f>ROUND(IF(AE92="2",AV92,0),2)</f>
        <v>0</v>
      </c>
      <c r="U92" s="16">
        <f>ROUND(IF(AE92="2",AW92,0),2)</f>
        <v>0</v>
      </c>
      <c r="V92" s="16">
        <f>ROUND(IF(AE92="0",AX92,0),2)</f>
        <v>0</v>
      </c>
      <c r="W92" s="11" t="s">
        <v>3</v>
      </c>
      <c r="X92" s="16">
        <f>IF(AB92=0,J92,0)</f>
        <v>0</v>
      </c>
      <c r="Y92" s="16">
        <f>IF(AB92=12,J92,0)</f>
        <v>0</v>
      </c>
      <c r="Z92" s="16">
        <f>IF(AB92=21,J92,0)</f>
        <v>0</v>
      </c>
      <c r="AB92" s="16">
        <v>21</v>
      </c>
      <c r="AC92" s="16">
        <f>G92*0</f>
        <v>0</v>
      </c>
      <c r="AD92" s="16">
        <f>G92*(1-0)</f>
        <v>0</v>
      </c>
      <c r="AE92" s="18" t="s">
        <v>71</v>
      </c>
      <c r="AJ92" s="16">
        <f>ROUND(AK92+AL92,2)</f>
        <v>0</v>
      </c>
      <c r="AK92" s="16">
        <f>ROUND(F92*AC92,2)</f>
        <v>0</v>
      </c>
      <c r="AL92" s="16">
        <f>ROUND(F92*AD92,2)</f>
        <v>0</v>
      </c>
      <c r="AM92" s="18" t="s">
        <v>272</v>
      </c>
      <c r="AN92" s="18" t="s">
        <v>273</v>
      </c>
      <c r="AO92" s="11" t="s">
        <v>78</v>
      </c>
      <c r="AQ92" s="16">
        <f>AK92+AL92</f>
        <v>0</v>
      </c>
      <c r="AR92" s="16">
        <f>G92/(100-AS92)*100</f>
        <v>0</v>
      </c>
      <c r="AS92" s="16">
        <v>0</v>
      </c>
      <c r="AT92" s="16">
        <f>93</f>
        <v>93</v>
      </c>
      <c r="AV92" s="16">
        <f>F92*AC92</f>
        <v>0</v>
      </c>
      <c r="AW92" s="16">
        <f>F92*AD92</f>
        <v>0</v>
      </c>
      <c r="AX92" s="16">
        <f>F92*G92</f>
        <v>0</v>
      </c>
      <c r="AY92" s="18" t="s">
        <v>79</v>
      </c>
      <c r="AZ92" s="16">
        <v>27</v>
      </c>
    </row>
    <row r="93" spans="2:52" ht="13.5" customHeight="1" x14ac:dyDescent="0.25">
      <c r="B93" s="74"/>
      <c r="C93" s="75" t="s">
        <v>122</v>
      </c>
      <c r="D93" s="43" t="s">
        <v>278</v>
      </c>
      <c r="E93" s="43"/>
      <c r="F93" s="43"/>
      <c r="G93" s="141"/>
      <c r="H93" s="43"/>
      <c r="I93" s="43"/>
      <c r="J93" s="88"/>
      <c r="K93" s="43"/>
      <c r="L93" s="44"/>
    </row>
    <row r="94" spans="2:52" ht="13.5" customHeight="1" x14ac:dyDescent="0.25">
      <c r="B94" s="74"/>
      <c r="C94" s="75"/>
      <c r="D94" s="93" t="s">
        <v>305</v>
      </c>
      <c r="E94" s="43"/>
      <c r="F94" s="43"/>
      <c r="G94" s="141"/>
      <c r="H94" s="43"/>
      <c r="I94" s="43"/>
      <c r="J94" s="88"/>
      <c r="K94" s="43"/>
      <c r="L94" s="44"/>
    </row>
    <row r="95" spans="2:52" ht="15" customHeight="1" x14ac:dyDescent="0.25">
      <c r="B95" s="72" t="s">
        <v>279</v>
      </c>
      <c r="C95" s="21" t="s">
        <v>280</v>
      </c>
      <c r="D95" s="42" t="s">
        <v>301</v>
      </c>
      <c r="E95" s="21" t="s">
        <v>284</v>
      </c>
      <c r="F95" s="73">
        <v>1</v>
      </c>
      <c r="G95" s="140">
        <v>0</v>
      </c>
      <c r="H95" s="73">
        <f>ROUND(F95*AC95,2)</f>
        <v>0</v>
      </c>
      <c r="I95" s="73">
        <f>ROUND(F95*AD95,2)</f>
        <v>0</v>
      </c>
      <c r="J95" s="87">
        <f t="shared" ref="J95:J100" si="22">ROUND(F95*G95,2)</f>
        <v>0</v>
      </c>
      <c r="K95" s="40"/>
      <c r="L95" s="17" t="s">
        <v>3</v>
      </c>
      <c r="N95" s="16">
        <f t="shared" ref="N95:N100" si="23">ROUND(IF(AE95="5",AX95,0),2)</f>
        <v>0</v>
      </c>
      <c r="P95" s="16">
        <f t="shared" ref="P95:P100" si="24">ROUND(IF(AE95="1",AV95,0),2)</f>
        <v>0</v>
      </c>
      <c r="Q95" s="16">
        <f t="shared" ref="Q95:Q100" si="25">ROUND(IF(AE95="1",AW95,0),2)</f>
        <v>0</v>
      </c>
      <c r="R95" s="16">
        <f t="shared" ref="R95:R100" si="26">ROUND(IF(AE95="7",AV95,0),2)</f>
        <v>0</v>
      </c>
      <c r="S95" s="16">
        <f t="shared" ref="S95:S100" si="27">ROUND(IF(AE95="7",AW95,0),2)</f>
        <v>0</v>
      </c>
      <c r="T95" s="16">
        <f t="shared" ref="T95:T100" si="28">ROUND(IF(AE95="2",AV95,0),2)</f>
        <v>0</v>
      </c>
      <c r="U95" s="16">
        <f t="shared" ref="U95:U100" si="29">ROUND(IF(AE95="2",AW95,0),2)</f>
        <v>0</v>
      </c>
      <c r="V95" s="16">
        <f t="shared" ref="V95:V100" si="30">ROUND(IF(AE95="0",AX95,0),2)</f>
        <v>0</v>
      </c>
      <c r="W95" s="11" t="s">
        <v>3</v>
      </c>
      <c r="X95" s="16">
        <f>IF(AB95=0,J95,0)</f>
        <v>0</v>
      </c>
      <c r="Y95" s="16">
        <f>IF(AB95=12,J95,0)</f>
        <v>0</v>
      </c>
      <c r="Z95" s="16">
        <f>IF(AB95=21,J95,0)</f>
        <v>0</v>
      </c>
      <c r="AB95" s="16">
        <v>21</v>
      </c>
      <c r="AC95" s="16">
        <f>G95*0.166066763</f>
        <v>0</v>
      </c>
      <c r="AD95" s="16">
        <f>G95*(1-0.166066763)</f>
        <v>0</v>
      </c>
      <c r="AE95" s="18" t="s">
        <v>71</v>
      </c>
      <c r="AJ95" s="16">
        <f t="shared" ref="AJ95:AJ100" si="31">ROUND(AK95+AL95,2)</f>
        <v>0</v>
      </c>
      <c r="AK95" s="16">
        <f>ROUND(F95*AC95,2)</f>
        <v>0</v>
      </c>
      <c r="AL95" s="16">
        <f>ROUND(F95*AD95,2)</f>
        <v>0</v>
      </c>
      <c r="AM95" s="18" t="s">
        <v>272</v>
      </c>
      <c r="AN95" s="18" t="s">
        <v>273</v>
      </c>
      <c r="AO95" s="11" t="s">
        <v>78</v>
      </c>
      <c r="AQ95" s="16">
        <f t="shared" ref="AQ95:AQ100" si="32">AK95+AL95</f>
        <v>0</v>
      </c>
      <c r="AR95" s="16">
        <f>G95/(100-AS95)*100</f>
        <v>0</v>
      </c>
      <c r="AS95" s="16">
        <v>0</v>
      </c>
      <c r="AT95" s="16">
        <f>95</f>
        <v>95</v>
      </c>
      <c r="AV95" s="16">
        <f>F95*AC95</f>
        <v>0</v>
      </c>
      <c r="AW95" s="16">
        <f>F95*AD95</f>
        <v>0</v>
      </c>
      <c r="AX95" s="16">
        <f t="shared" ref="AX95:AX100" si="33">F95*G95</f>
        <v>0</v>
      </c>
      <c r="AY95" s="18" t="s">
        <v>79</v>
      </c>
      <c r="AZ95" s="16">
        <v>27</v>
      </c>
    </row>
    <row r="96" spans="2:52" x14ac:dyDescent="0.25">
      <c r="B96" s="72" t="s">
        <v>281</v>
      </c>
      <c r="C96" s="21" t="s">
        <v>282</v>
      </c>
      <c r="D96" s="42" t="s">
        <v>283</v>
      </c>
      <c r="E96" s="21" t="s">
        <v>284</v>
      </c>
      <c r="F96" s="73">
        <v>1</v>
      </c>
      <c r="G96" s="140">
        <v>0</v>
      </c>
      <c r="H96" s="73">
        <f>ROUND(F96*AC96,2)</f>
        <v>0</v>
      </c>
      <c r="I96" s="73">
        <f>ROUND(F96*AD96,2)</f>
        <v>0</v>
      </c>
      <c r="J96" s="87">
        <f t="shared" si="22"/>
        <v>0</v>
      </c>
      <c r="K96" s="40"/>
      <c r="L96" s="17" t="s">
        <v>3</v>
      </c>
      <c r="N96" s="16">
        <f t="shared" si="23"/>
        <v>0</v>
      </c>
      <c r="P96" s="16">
        <f t="shared" si="24"/>
        <v>0</v>
      </c>
      <c r="Q96" s="16">
        <f t="shared" si="25"/>
        <v>0</v>
      </c>
      <c r="R96" s="16">
        <f t="shared" si="26"/>
        <v>0</v>
      </c>
      <c r="S96" s="16">
        <f t="shared" si="27"/>
        <v>0</v>
      </c>
      <c r="T96" s="16">
        <f t="shared" si="28"/>
        <v>0</v>
      </c>
      <c r="U96" s="16">
        <f t="shared" si="29"/>
        <v>0</v>
      </c>
      <c r="V96" s="16">
        <f t="shared" si="30"/>
        <v>0</v>
      </c>
      <c r="W96" s="11" t="s">
        <v>3</v>
      </c>
      <c r="X96" s="16">
        <f>IF(AB96=0,J96,0)</f>
        <v>0</v>
      </c>
      <c r="Y96" s="16">
        <f>IF(AB96=12,J96,0)</f>
        <v>0</v>
      </c>
      <c r="Z96" s="16">
        <f>IF(AB96=21,J96,0)</f>
        <v>0</v>
      </c>
      <c r="AB96" s="16">
        <v>21</v>
      </c>
      <c r="AC96" s="16">
        <f>G96*0.150066667</f>
        <v>0</v>
      </c>
      <c r="AD96" s="16">
        <f>G96*(1-0.150066667)</f>
        <v>0</v>
      </c>
      <c r="AE96" s="18" t="s">
        <v>71</v>
      </c>
      <c r="AJ96" s="16">
        <f t="shared" si="31"/>
        <v>0</v>
      </c>
      <c r="AK96" s="16">
        <f>ROUND(F96*AC96,2)</f>
        <v>0</v>
      </c>
      <c r="AL96" s="16">
        <f>ROUND(F96*AD96,2)</f>
        <v>0</v>
      </c>
      <c r="AM96" s="18" t="s">
        <v>272</v>
      </c>
      <c r="AN96" s="18" t="s">
        <v>273</v>
      </c>
      <c r="AO96" s="11" t="s">
        <v>78</v>
      </c>
      <c r="AQ96" s="16">
        <f t="shared" si="32"/>
        <v>0</v>
      </c>
      <c r="AR96" s="16">
        <f>G96/(100-AS96)*100</f>
        <v>0</v>
      </c>
      <c r="AS96" s="16">
        <v>0</v>
      </c>
      <c r="AT96" s="16">
        <f>96</f>
        <v>96</v>
      </c>
      <c r="AV96" s="16">
        <f>F96*AC96</f>
        <v>0</v>
      </c>
      <c r="AW96" s="16">
        <f>F96*AD96</f>
        <v>0</v>
      </c>
      <c r="AX96" s="16">
        <f t="shared" si="33"/>
        <v>0</v>
      </c>
      <c r="AY96" s="18" t="s">
        <v>79</v>
      </c>
      <c r="AZ96" s="16">
        <v>27</v>
      </c>
    </row>
    <row r="97" spans="2:52" x14ac:dyDescent="0.25">
      <c r="B97" s="72" t="s">
        <v>285</v>
      </c>
      <c r="C97" s="21" t="s">
        <v>286</v>
      </c>
      <c r="D97" s="42" t="s">
        <v>287</v>
      </c>
      <c r="E97" s="21" t="s">
        <v>284</v>
      </c>
      <c r="F97" s="73">
        <v>1</v>
      </c>
      <c r="G97" s="140">
        <v>0</v>
      </c>
      <c r="H97" s="73">
        <f>ROUND(F97*AC97,2)</f>
        <v>0</v>
      </c>
      <c r="I97" s="73">
        <f>ROUND(F97*AD97,2)</f>
        <v>0</v>
      </c>
      <c r="J97" s="87">
        <f t="shared" si="22"/>
        <v>0</v>
      </c>
      <c r="K97" s="40"/>
      <c r="L97" s="17" t="s">
        <v>3</v>
      </c>
      <c r="N97" s="16">
        <f t="shared" si="23"/>
        <v>0</v>
      </c>
      <c r="P97" s="16">
        <f t="shared" si="24"/>
        <v>0</v>
      </c>
      <c r="Q97" s="16">
        <f t="shared" si="25"/>
        <v>0</v>
      </c>
      <c r="R97" s="16">
        <f t="shared" si="26"/>
        <v>0</v>
      </c>
      <c r="S97" s="16">
        <f t="shared" si="27"/>
        <v>0</v>
      </c>
      <c r="T97" s="16">
        <f t="shared" si="28"/>
        <v>0</v>
      </c>
      <c r="U97" s="16">
        <f t="shared" si="29"/>
        <v>0</v>
      </c>
      <c r="V97" s="16">
        <f t="shared" si="30"/>
        <v>0</v>
      </c>
      <c r="W97" s="11" t="s">
        <v>3</v>
      </c>
      <c r="X97" s="16">
        <f>IF(AB97=0,J97,0)</f>
        <v>0</v>
      </c>
      <c r="Y97" s="16">
        <f>IF(AB97=12,J97,0)</f>
        <v>0</v>
      </c>
      <c r="Z97" s="16">
        <f>IF(AB97=21,J97,0)</f>
        <v>0</v>
      </c>
      <c r="AB97" s="16">
        <v>21</v>
      </c>
      <c r="AC97" s="16">
        <f>G97*0.150066667</f>
        <v>0</v>
      </c>
      <c r="AD97" s="16">
        <f>G97*(1-0.150066667)</f>
        <v>0</v>
      </c>
      <c r="AE97" s="18" t="s">
        <v>71</v>
      </c>
      <c r="AJ97" s="16">
        <f t="shared" si="31"/>
        <v>0</v>
      </c>
      <c r="AK97" s="16">
        <f>ROUND(F97*AC97,2)</f>
        <v>0</v>
      </c>
      <c r="AL97" s="16">
        <f>ROUND(F97*AD97,2)</f>
        <v>0</v>
      </c>
      <c r="AM97" s="18" t="s">
        <v>272</v>
      </c>
      <c r="AN97" s="18" t="s">
        <v>273</v>
      </c>
      <c r="AO97" s="11" t="s">
        <v>78</v>
      </c>
      <c r="AQ97" s="16">
        <f t="shared" si="32"/>
        <v>0</v>
      </c>
      <c r="AR97" s="16">
        <f>G97/(100-AS97)*100</f>
        <v>0</v>
      </c>
      <c r="AS97" s="16">
        <v>0</v>
      </c>
      <c r="AT97" s="16">
        <f>97</f>
        <v>97</v>
      </c>
      <c r="AV97" s="16">
        <f>F97*AC97</f>
        <v>0</v>
      </c>
      <c r="AW97" s="16">
        <f>F97*AD97</f>
        <v>0</v>
      </c>
      <c r="AX97" s="16">
        <f t="shared" si="33"/>
        <v>0</v>
      </c>
      <c r="AY97" s="18" t="s">
        <v>79</v>
      </c>
      <c r="AZ97" s="16">
        <v>27</v>
      </c>
    </row>
    <row r="98" spans="2:52" ht="25.5" x14ac:dyDescent="0.25">
      <c r="B98" s="72">
        <v>57</v>
      </c>
      <c r="C98" s="21" t="s">
        <v>307</v>
      </c>
      <c r="D98" s="42" t="s">
        <v>309</v>
      </c>
      <c r="E98" s="21" t="s">
        <v>284</v>
      </c>
      <c r="F98" s="73">
        <v>1</v>
      </c>
      <c r="G98" s="140">
        <v>0</v>
      </c>
      <c r="H98" s="73">
        <f>ROUND(F98*AC98,2)</f>
        <v>0</v>
      </c>
      <c r="I98" s="73">
        <f>ROUND(F98*AD98,2)</f>
        <v>0</v>
      </c>
      <c r="J98" s="87">
        <f t="shared" ref="J98" si="34">ROUND(F98*G98,2)</f>
        <v>0</v>
      </c>
      <c r="K98" s="40"/>
      <c r="L98" s="17" t="s">
        <v>3</v>
      </c>
      <c r="N98" s="16">
        <f t="shared" ref="N98" si="35">ROUND(IF(AE98="5",AX98,0),2)</f>
        <v>0</v>
      </c>
      <c r="P98" s="16">
        <f t="shared" ref="P98" si="36">ROUND(IF(AE98="1",AV98,0),2)</f>
        <v>0</v>
      </c>
      <c r="Q98" s="16">
        <f t="shared" ref="Q98" si="37">ROUND(IF(AE98="1",AW98,0),2)</f>
        <v>0</v>
      </c>
      <c r="R98" s="16">
        <f t="shared" ref="R98" si="38">ROUND(IF(AE98="7",AV98,0),2)</f>
        <v>0</v>
      </c>
      <c r="S98" s="16">
        <f t="shared" ref="S98" si="39">ROUND(IF(AE98="7",AW98,0),2)</f>
        <v>0</v>
      </c>
      <c r="T98" s="16">
        <f t="shared" ref="T98" si="40">ROUND(IF(AE98="2",AV98,0),2)</f>
        <v>0</v>
      </c>
      <c r="U98" s="16">
        <f t="shared" ref="U98" si="41">ROUND(IF(AE98="2",AW98,0),2)</f>
        <v>0</v>
      </c>
      <c r="V98" s="16">
        <f t="shared" ref="V98" si="42">ROUND(IF(AE98="0",AX98,0),2)</f>
        <v>0</v>
      </c>
      <c r="W98" s="11" t="s">
        <v>3</v>
      </c>
      <c r="X98" s="16">
        <f>IF(AB98=0,J98,0)</f>
        <v>0</v>
      </c>
      <c r="Y98" s="16">
        <f>IF(AB98=12,J98,0)</f>
        <v>0</v>
      </c>
      <c r="Z98" s="16">
        <f>IF(AB98=21,J98,0)</f>
        <v>0</v>
      </c>
      <c r="AB98" s="16">
        <v>21</v>
      </c>
      <c r="AC98" s="16">
        <f>G98*0.150066667</f>
        <v>0</v>
      </c>
      <c r="AD98" s="16">
        <f>G98*(1-0.150066667)</f>
        <v>0</v>
      </c>
      <c r="AE98" s="18" t="s">
        <v>71</v>
      </c>
      <c r="AJ98" s="16">
        <f t="shared" ref="AJ98" si="43">ROUND(AK98+AL98,2)</f>
        <v>0</v>
      </c>
      <c r="AK98" s="16">
        <f>ROUND(F98*AC98,2)</f>
        <v>0</v>
      </c>
      <c r="AL98" s="16">
        <f>ROUND(F98*AD98,2)</f>
        <v>0</v>
      </c>
      <c r="AM98" s="18" t="s">
        <v>272</v>
      </c>
      <c r="AN98" s="18" t="s">
        <v>273</v>
      </c>
      <c r="AO98" s="11" t="s">
        <v>78</v>
      </c>
      <c r="AQ98" s="16">
        <f t="shared" ref="AQ98" si="44">AK98+AL98</f>
        <v>0</v>
      </c>
      <c r="AR98" s="16">
        <f>G98/(100-AS98)*100</f>
        <v>0</v>
      </c>
      <c r="AS98" s="16">
        <v>0</v>
      </c>
      <c r="AT98" s="16">
        <f>97</f>
        <v>97</v>
      </c>
      <c r="AV98" s="16">
        <f>F98*AC98</f>
        <v>0</v>
      </c>
      <c r="AW98" s="16">
        <f>F98*AD98</f>
        <v>0</v>
      </c>
      <c r="AX98" s="16">
        <f t="shared" ref="AX98" si="45">F98*G98</f>
        <v>0</v>
      </c>
      <c r="AY98" s="18" t="s">
        <v>79</v>
      </c>
      <c r="AZ98" s="16">
        <v>27</v>
      </c>
    </row>
    <row r="99" spans="2:52" x14ac:dyDescent="0.25">
      <c r="B99" s="72" t="s">
        <v>288</v>
      </c>
      <c r="C99" s="21" t="s">
        <v>289</v>
      </c>
      <c r="D99" s="139" t="s">
        <v>308</v>
      </c>
      <c r="E99" s="21" t="s">
        <v>284</v>
      </c>
      <c r="F99" s="73">
        <v>1</v>
      </c>
      <c r="G99" s="140">
        <v>0</v>
      </c>
      <c r="H99" s="73">
        <f>ROUND(F99*AC99,2)</f>
        <v>0</v>
      </c>
      <c r="I99" s="73">
        <f>ROUND(F99*AD99,2)</f>
        <v>0</v>
      </c>
      <c r="J99" s="87">
        <f t="shared" si="22"/>
        <v>0</v>
      </c>
      <c r="K99" s="40"/>
      <c r="L99" s="17" t="s">
        <v>3</v>
      </c>
      <c r="N99" s="16">
        <f t="shared" si="23"/>
        <v>0</v>
      </c>
      <c r="P99" s="16">
        <f t="shared" si="24"/>
        <v>0</v>
      </c>
      <c r="Q99" s="16">
        <f t="shared" si="25"/>
        <v>0</v>
      </c>
      <c r="R99" s="16">
        <f t="shared" si="26"/>
        <v>0</v>
      </c>
      <c r="S99" s="16">
        <f t="shared" si="27"/>
        <v>0</v>
      </c>
      <c r="T99" s="16">
        <f t="shared" si="28"/>
        <v>0</v>
      </c>
      <c r="U99" s="16">
        <f t="shared" si="29"/>
        <v>0</v>
      </c>
      <c r="V99" s="16">
        <f t="shared" si="30"/>
        <v>0</v>
      </c>
      <c r="W99" s="11" t="s">
        <v>3</v>
      </c>
      <c r="X99" s="16">
        <f>IF(AB99=0,J99,0)</f>
        <v>0</v>
      </c>
      <c r="Y99" s="16">
        <f>IF(AB99=12,J99,0)</f>
        <v>0</v>
      </c>
      <c r="Z99" s="16">
        <f>IF(AB99=21,J99,0)</f>
        <v>0</v>
      </c>
      <c r="AB99" s="16">
        <v>21</v>
      </c>
      <c r="AC99" s="16">
        <f>G99*0.150066207</f>
        <v>0</v>
      </c>
      <c r="AD99" s="16">
        <f>G99*(1-0.150066207)</f>
        <v>0</v>
      </c>
      <c r="AE99" s="18" t="s">
        <v>71</v>
      </c>
      <c r="AJ99" s="16">
        <f t="shared" si="31"/>
        <v>0</v>
      </c>
      <c r="AK99" s="16">
        <f>ROUND(F99*AC99,2)</f>
        <v>0</v>
      </c>
      <c r="AL99" s="16">
        <f>ROUND(F99*AD99,2)</f>
        <v>0</v>
      </c>
      <c r="AM99" s="18" t="s">
        <v>272</v>
      </c>
      <c r="AN99" s="18" t="s">
        <v>273</v>
      </c>
      <c r="AO99" s="11" t="s">
        <v>78</v>
      </c>
      <c r="AQ99" s="16">
        <f t="shared" si="32"/>
        <v>0</v>
      </c>
      <c r="AR99" s="16">
        <f>G99/(100-AS99)*100</f>
        <v>0</v>
      </c>
      <c r="AS99" s="16">
        <v>0</v>
      </c>
      <c r="AT99" s="16">
        <f>99</f>
        <v>99</v>
      </c>
      <c r="AV99" s="16">
        <f>F99*AC99</f>
        <v>0</v>
      </c>
      <c r="AW99" s="16">
        <f>F99*AD99</f>
        <v>0</v>
      </c>
      <c r="AX99" s="16">
        <f t="shared" si="33"/>
        <v>0</v>
      </c>
      <c r="AY99" s="18" t="s">
        <v>79</v>
      </c>
      <c r="AZ99" s="16">
        <v>27</v>
      </c>
    </row>
    <row r="100" spans="2:52" ht="15.75" thickBot="1" x14ac:dyDescent="0.3">
      <c r="B100" s="78" t="s">
        <v>290</v>
      </c>
      <c r="C100" s="79" t="s">
        <v>291</v>
      </c>
      <c r="D100" s="80" t="s">
        <v>292</v>
      </c>
      <c r="E100" s="79" t="s">
        <v>284</v>
      </c>
      <c r="F100" s="81">
        <v>1</v>
      </c>
      <c r="G100" s="143">
        <v>0</v>
      </c>
      <c r="H100" s="81">
        <f>ROUND(F100*AC100,2)</f>
        <v>0</v>
      </c>
      <c r="I100" s="81">
        <f>ROUND(F100*AD100,2)</f>
        <v>0</v>
      </c>
      <c r="J100" s="89">
        <f t="shared" si="22"/>
        <v>0</v>
      </c>
      <c r="K100" s="40"/>
      <c r="L100" s="17" t="s">
        <v>3</v>
      </c>
      <c r="N100" s="16">
        <f t="shared" si="23"/>
        <v>0</v>
      </c>
      <c r="P100" s="16">
        <f t="shared" si="24"/>
        <v>0</v>
      </c>
      <c r="Q100" s="16">
        <f t="shared" si="25"/>
        <v>0</v>
      </c>
      <c r="R100" s="16">
        <f t="shared" si="26"/>
        <v>0</v>
      </c>
      <c r="S100" s="16">
        <f t="shared" si="27"/>
        <v>0</v>
      </c>
      <c r="T100" s="16">
        <f t="shared" si="28"/>
        <v>0</v>
      </c>
      <c r="U100" s="16">
        <f t="shared" si="29"/>
        <v>0</v>
      </c>
      <c r="V100" s="16">
        <f t="shared" si="30"/>
        <v>0</v>
      </c>
      <c r="W100" s="11" t="s">
        <v>3</v>
      </c>
      <c r="X100" s="16">
        <f>IF(AB100=0,J100,0)</f>
        <v>0</v>
      </c>
      <c r="Y100" s="16">
        <f>IF(AB100=12,J100,0)</f>
        <v>0</v>
      </c>
      <c r="Z100" s="16">
        <f>IF(AB100=21,J100,0)</f>
        <v>0</v>
      </c>
      <c r="AB100" s="16">
        <v>21</v>
      </c>
      <c r="AC100" s="16">
        <f>G100*0.1660624</f>
        <v>0</v>
      </c>
      <c r="AD100" s="16">
        <f>G100*(1-0.1660624)</f>
        <v>0</v>
      </c>
      <c r="AE100" s="18" t="s">
        <v>71</v>
      </c>
      <c r="AJ100" s="16">
        <f t="shared" si="31"/>
        <v>0</v>
      </c>
      <c r="AK100" s="16">
        <f>ROUND(F100*AC100,2)</f>
        <v>0</v>
      </c>
      <c r="AL100" s="16">
        <f>ROUND(F100*AD100,2)</f>
        <v>0</v>
      </c>
      <c r="AM100" s="18" t="s">
        <v>272</v>
      </c>
      <c r="AN100" s="18" t="s">
        <v>273</v>
      </c>
      <c r="AO100" s="11" t="s">
        <v>78</v>
      </c>
      <c r="AQ100" s="16">
        <f t="shared" si="32"/>
        <v>0</v>
      </c>
      <c r="AR100" s="16">
        <f>G100/(100-AS100)*100</f>
        <v>0</v>
      </c>
      <c r="AS100" s="16">
        <v>0</v>
      </c>
      <c r="AT100" s="16">
        <f>100</f>
        <v>100</v>
      </c>
      <c r="AV100" s="16">
        <f>F100*AC100</f>
        <v>0</v>
      </c>
      <c r="AW100" s="16">
        <f>F100*AD100</f>
        <v>0</v>
      </c>
      <c r="AX100" s="16">
        <f t="shared" si="33"/>
        <v>0</v>
      </c>
      <c r="AY100" s="18" t="s">
        <v>79</v>
      </c>
      <c r="AZ100" s="16">
        <v>27</v>
      </c>
    </row>
    <row r="101" spans="2:52" ht="15.75" thickBot="1" x14ac:dyDescent="0.3">
      <c r="B101" s="21"/>
      <c r="C101" s="21"/>
      <c r="D101" s="42"/>
      <c r="E101" s="21"/>
      <c r="F101" s="73"/>
      <c r="G101" s="73"/>
      <c r="H101" s="73"/>
      <c r="I101" s="73"/>
      <c r="J101" s="19"/>
      <c r="K101" s="40"/>
      <c r="L101" s="82"/>
      <c r="N101" s="16"/>
      <c r="P101" s="16"/>
      <c r="Q101" s="16"/>
      <c r="R101" s="16"/>
      <c r="S101" s="16"/>
      <c r="T101" s="16"/>
      <c r="U101" s="16"/>
      <c r="V101" s="16"/>
      <c r="W101" s="11"/>
      <c r="X101" s="16"/>
      <c r="Y101" s="16"/>
      <c r="Z101" s="16"/>
      <c r="AB101" s="16"/>
      <c r="AC101" s="16"/>
      <c r="AD101" s="16"/>
      <c r="AE101" s="18"/>
      <c r="AJ101" s="16"/>
      <c r="AK101" s="16"/>
      <c r="AL101" s="16"/>
      <c r="AM101" s="18"/>
      <c r="AN101" s="18"/>
      <c r="AO101" s="11"/>
      <c r="AQ101" s="16"/>
      <c r="AR101" s="16"/>
      <c r="AS101" s="16"/>
      <c r="AT101" s="16"/>
      <c r="AV101" s="16"/>
      <c r="AW101" s="16"/>
      <c r="AX101" s="16"/>
      <c r="AY101" s="18"/>
      <c r="AZ101" s="16"/>
    </row>
    <row r="102" spans="2:52" ht="18.75" customHeight="1" thickBot="1" x14ac:dyDescent="0.3">
      <c r="B102" s="84"/>
      <c r="C102" s="83" t="s">
        <v>27</v>
      </c>
      <c r="D102" s="85"/>
      <c r="E102" s="85"/>
      <c r="F102" s="85"/>
      <c r="G102" s="85"/>
      <c r="H102" s="138"/>
      <c r="I102" s="138"/>
      <c r="J102" s="86">
        <f>ROUND(J10+J23+J55+J71+J77+J83+J90,2)</f>
        <v>0</v>
      </c>
      <c r="K102" s="37"/>
    </row>
    <row r="103" spans="2:52" x14ac:dyDescent="0.25">
      <c r="H103" s="20"/>
      <c r="I103" s="20"/>
      <c r="J103" s="19"/>
      <c r="K103" s="37"/>
    </row>
    <row r="104" spans="2:52" ht="15" customHeight="1" x14ac:dyDescent="0.25">
      <c r="B104" s="91" t="s">
        <v>299</v>
      </c>
    </row>
    <row r="105" spans="2:52" ht="15" customHeight="1" x14ac:dyDescent="0.25">
      <c r="B105" s="133" t="s">
        <v>300</v>
      </c>
      <c r="C105" s="133"/>
      <c r="D105" s="133"/>
      <c r="E105" s="133"/>
      <c r="F105" s="133"/>
      <c r="G105" s="133"/>
      <c r="H105" s="133"/>
      <c r="I105" s="133"/>
      <c r="J105" s="133"/>
    </row>
  </sheetData>
  <sheetProtection password="C7D4" sheet="1" objects="1" scenarios="1"/>
  <mergeCells count="4">
    <mergeCell ref="B105:J105"/>
    <mergeCell ref="D1:J1"/>
    <mergeCell ref="H5:J5"/>
    <mergeCell ref="H102:I102"/>
  </mergeCells>
  <pageMargins left="0.39370078740157483" right="0.39370078740157483" top="0.47244094488188981" bottom="0.59055118110236227" header="0" footer="0"/>
  <pageSetup paperSize="9" scale="80" fitToHeight="0" orientation="landscape" r:id="rId1"/>
  <headerFooter>
    <oddFooter>&amp;L&amp;"Arial,Obyčejné"&amp;10Stavba: MŠ ZDISLAVA, Brno, Pellicova 4 – rekonstrukce školní jídelny&amp;R&amp;"Arial,Obyčejné"&amp;10strana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87e058-6ce2-4387-af7d-9a1fa0f09b0b">
      <Terms xmlns="http://schemas.microsoft.com/office/infopath/2007/PartnerControls"/>
    </lcf76f155ced4ddcb4097134ff3c332f>
    <TaxCatchAll xmlns="b99443a6-28a3-4c26-9342-973df40cbcd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4372EAA8106747BE00564483DC9FFD" ma:contentTypeVersion="29" ma:contentTypeDescription="Vytvoří nový dokument" ma:contentTypeScope="" ma:versionID="08561523e86e1077591db97ca39e7a02">
  <xsd:schema xmlns:xsd="http://www.w3.org/2001/XMLSchema" xmlns:xs="http://www.w3.org/2001/XMLSchema" xmlns:p="http://schemas.microsoft.com/office/2006/metadata/properties" xmlns:ns2="0787e058-6ce2-4387-af7d-9a1fa0f09b0b" xmlns:ns3="b99443a6-28a3-4c26-9342-973df40cbcd8" targetNamespace="http://schemas.microsoft.com/office/2006/metadata/properties" ma:root="true" ma:fieldsID="14729bd3c20340d3d9eac6f19c83ab8f" ns2:_="" ns3:_="">
    <xsd:import namespace="0787e058-6ce2-4387-af7d-9a1fa0f09b0b"/>
    <xsd:import namespace="b99443a6-28a3-4c26-9342-973df40cb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7e058-6ce2-4387-af7d-9a1fa0f09b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b8040d1f-e212-44eb-9296-edc947290d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443a6-28a3-4c26-9342-973df40cbc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1cf57ee-cd43-4485-a33b-01234314ed8c}" ma:internalName="TaxCatchAll" ma:showField="CatchAllData" ma:web="b99443a6-28a3-4c26-9342-973df40cb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2FD34F-CD3F-4A46-8317-2FB77C1B4C3A}">
  <ds:schemaRefs>
    <ds:schemaRef ds:uri="0787e058-6ce2-4387-af7d-9a1fa0f09b0b"/>
    <ds:schemaRef ds:uri="b99443a6-28a3-4c26-9342-973df40cbcd8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0C4DD4E-4DE3-452A-B33A-58AE18B459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0EEC7A-D46D-4E7A-9B3A-1338776D7E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87e058-6ce2-4387-af7d-9a1fa0f09b0b"/>
    <ds:schemaRef ds:uri="b99443a6-28a3-4c26-9342-973df40cbc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VORN</vt:lpstr>
      <vt:lpstr>4_VV_Vzduchotechnika</vt:lpstr>
      <vt:lpstr>'4_VV_Vzduchotechnika'!Názvy_tisku</vt:lpstr>
      <vt:lpstr>'4_VV_Vzduchotechnika'!Oblast_tisku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Soňa Mrkvicová</cp:lastModifiedBy>
  <cp:lastPrinted>2025-10-15T12:49:41Z</cp:lastPrinted>
  <dcterms:created xsi:type="dcterms:W3CDTF">2021-06-10T20:06:38Z</dcterms:created>
  <dcterms:modified xsi:type="dcterms:W3CDTF">2025-10-16T11:35:34Z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0x010100164372EAA8106747BE00564483DC9FFD</vt:lpwstr>
  </property>
  <property fmtid="{D5CDD505-2E9C-101B-9397-08002B2CF9AE}" pid="3" name="MediaServiceImageTags">
    <vt:lpwstr/>
  </property>
</Properties>
</file>