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<sst xmlns="http://schemas.openxmlformats.org/spreadsheetml/2006/main" count="4071" uniqueCount="1145">
  <si>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</si>
  <si>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</si>
  <si>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</si>
  <si>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</si>
  <si>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</si>
  <si>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</si>
  <si>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</si>
  <si>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</si>
  <si>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</si>
  <si>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</si>
  <si>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</si>
  <si>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</si>
  <si>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</si>
  <si>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</si>
  <si>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</si>
  <si>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</si>
  <si>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</si>
  <si>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</si>
  <si>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</si>
  <si>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</si>
  <si>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</si>
  <si>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</si>
  <si>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</si>
  <si>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</si>
  <si>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</si>
  <si>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</si>
  <si>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</si>
  <si>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</si>
  <si>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</si>
  <si>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</si>
  <si>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</si>
  <si>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</si>
  <si>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</si>
  <si>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</si>
  <si>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</si>
  <si>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</si>
  <si>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</si>
  <si>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</si>
  <si>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</si>
  <si>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</si>
  <si>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</si>
  <si>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</si>
  <si>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</si>
  <si>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</si>
  <si>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</si>
  <si>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</si>
  <si>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</si>
  <si>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</si>
  <si>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</si>
  <si>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</si>
  <si>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</si>
  <si>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</si>
  <si>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</si>
  <si>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</si>
  <si>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</si>
  <si>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</si>
  <si>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</si>
  <si>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</si>
  <si>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</si>
  <si>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</si>
  <si>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</si>
  <si>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</si>
  <si>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</si>
  <si>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</si>
  <si>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</si>
  <si>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</si>
  <si>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</si>
  <si>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</si>
  <si>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</si>
  <si>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</si>
  <si>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</si>
  <si>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</si>
  <si>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</si>
  <si>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</si>
  <si>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</si>
  <si>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</si>
  <si>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</si>
  <si>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</si>
  <si>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</si>
  <si>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</si>
  <si>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</si>
  <si>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</si>
  <si>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</si>
  <si>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</si>
  <si>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</si>
  <si>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</si>
  <si>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</si>
  <si>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</si>
  <si>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</si>
  <si>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</si>
  <si>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</si>
  <si>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</si>
  <si>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</si>
  <si>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</si>
  <si>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</si>
  <si>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</si>
  <si>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</si>
  <si>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</si>
  <si>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</si>
  <si>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</si>
  <si>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</si>
  <si>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</si>
  <si>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</si>
  <si>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</si>
  <si>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</si>
  <si>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</si>
  <si>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</si>
  <si>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</si>
  <si>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</si>
  <si>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</si>
  <si>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</si>
  <si>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</si>
  <si>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</si>
  <si>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</si>
  <si>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</si>
  <si>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</si>
  <si>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</si>
  <si>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</si>
  <si>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</si>
  <si>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</si>
  <si>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</si>
  <si>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</si>
  <si>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</si>
  <si>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</si>
  <si>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</si>
  <si>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</si>
  <si>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</si>
  <si>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</si>
  <si>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</si>
  <si>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</si>
  <si>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</si>
  <si>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</si>
  <si>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</si>
  <si>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</si>
  <si>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</si>
  <si>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</si>
  <si>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</si>
  <si>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</si>
  <si>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</si>
  <si>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</si>
  <si>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</si>
  <si>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</si>
  <si>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</si>
  <si>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</si>
  <si>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</si>
  <si>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</si>
  <si>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</si>
  <si>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</si>
  <si>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</si>
  <si>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</si>
  <si>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</si>
  <si>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</si>
  <si>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</si>
  <si>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</si>
  <si>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</si>
  <si>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</si>
  <si>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</si>
  <si>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</si>
  <si>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</si>
  <si>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</si>
  <si>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</si>
  <si>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</si>
  <si>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</si>
  <si>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</si>
  <si>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</si>
  <si>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</si>
  <si>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</si>
  <si>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</si>
  <si>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</si>
  <si>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</si>
  <si>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</si>
  <si>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</si>
  <si>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</si>
  <si>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</si>
  <si>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</si>
  <si>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</si>
  <si>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</si>
  <si>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</si>
  <si>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</si>
  <si>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</si>
  <si>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</si>
  <si>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</si>
  <si>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</si>
  <si>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</si>
  <si>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</si>
  <si>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</si>
  <si>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</si>
  <si>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</si>
  <si>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</si>
  <si>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</si>
  <si>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</si>
  <si>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</si>
  <si>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</si>
  <si>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</si>
  <si>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</si>
  <si>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</si>
  <si>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</si>
  <si>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</si>
  <si>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</si>
  <si>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</si>
  <si>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</si>
  <si>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</si>
  <si>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</si>
  <si>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</si>
  <si>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</si>
  <si>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</si>
  <si>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</si>
  <si>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</si>
  <si>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</si>
  <si>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</si>
  <si>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</si>
  <si>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</si>
  <si>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</si>
  <si>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</si>
  <si>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</si>
  <si>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</si>
  <si>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</si>
  <si>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</si>
  <si>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</si>
  <si>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</si>
  <si>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</si>
  <si>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</si>
  <si>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</si>
  <si>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</si>
  <si>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</si>
  <si>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</si>
  <si>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</si>
  <si>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</si>
  <si>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</si>
  <si>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</si>
  <si>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</si>
  <si>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</si>
  <si>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</si>
  <si>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</si>
  <si>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</si>
  <si>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</si>
  <si>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</si>
  <si>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</si>
  <si>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</si>
  <si>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</si>
  <si>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</si>
  <si>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</si>
  <si>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</si>
  <si>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</si>
  <si>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</si>
  <si>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</si>
  <si>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</si>
  <si>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</si>
  <si>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</si>
  <si>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</si>
  <si>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</si>
  <si>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</si>
  <si>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</si>
  <si>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</si>
  <si>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</si>
  <si>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</si>
  <si>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</si>
  <si>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</si>
  <si>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</si>
  <si>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</si>
  <si>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</si>
  <si>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</si>
  <si>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</si>
  <si>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</si>
  <si>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</si>
  <si>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</si>
  <si>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</si>
  <si>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</si>
  <si>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</si>
  <si>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</si>
  <si>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</si>
  <si>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</si>
  <si>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</si>
  <si>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</si>
  <si>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</si>
  <si>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</si>
  <si>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</si>
  <si>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</si>
  <si>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</si>
  <si>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</si>
  <si>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</si>
  <si>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</si>
  <si>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</si>
  <si>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</si>
  <si>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</si>
  <si>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</si>
  <si>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</si>
  <si>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</si>
  <si>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</si>
  <si>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</si>
  <si>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</si>
  <si>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</si>
  <si>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</si>
  <si>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</si>
  <si>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</si>
  <si>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</si>
  <si>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</si>
  <si>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</si>
  <si>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</si>
  <si>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</si>
  <si>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</si>
  <si>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</si>
  <si>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</si>
  <si>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</si>
  <si>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</si>
  <si>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</si>
  <si>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</si>
  <si>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</si>
  <si>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</si>
  <si>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</si>
  <si>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</si>
  <si>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</si>
  <si>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</si>
  <si>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</si>
  <si>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</si>
  <si>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</si>
  <si>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</si>
  <si>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</si>
  <si>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</si>
  <si>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</si>
  <si>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</si>
  <si>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Poznámka:</t>
  </si>
  <si>
    <t>Kód</t>
  </si>
  <si>
    <t>113106231R00</t>
  </si>
  <si>
    <t>139601103R00</t>
  </si>
  <si>
    <t>167101101R00</t>
  </si>
  <si>
    <t>162201102R00</t>
  </si>
  <si>
    <t>162701105R00</t>
  </si>
  <si>
    <t>162701109R00</t>
  </si>
  <si>
    <t>167101103R00</t>
  </si>
  <si>
    <t>174101102R00</t>
  </si>
  <si>
    <t>171201201R00</t>
  </si>
  <si>
    <t>181301103R00</t>
  </si>
  <si>
    <t>10364200</t>
  </si>
  <si>
    <t>199000002R00</t>
  </si>
  <si>
    <t>451571111R00</t>
  </si>
  <si>
    <t>596811111RT5</t>
  </si>
  <si>
    <t>596215040R00</t>
  </si>
  <si>
    <t>596291113R00</t>
  </si>
  <si>
    <t>602011188RT7</t>
  </si>
  <si>
    <t>602011191R00</t>
  </si>
  <si>
    <t>602011189R00</t>
  </si>
  <si>
    <t>602011195R00</t>
  </si>
  <si>
    <t>602011193R00</t>
  </si>
  <si>
    <t>601011188RT7</t>
  </si>
  <si>
    <t>601011191R00</t>
  </si>
  <si>
    <t>612403399RT2</t>
  </si>
  <si>
    <t>622311135RV1</t>
  </si>
  <si>
    <t>622311130RV1</t>
  </si>
  <si>
    <t>622311515R00</t>
  </si>
  <si>
    <t>622311525RV1</t>
  </si>
  <si>
    <t>622481211RT2</t>
  </si>
  <si>
    <t>620991121R00</t>
  </si>
  <si>
    <t>622421491R00</t>
  </si>
  <si>
    <t>622421492R00</t>
  </si>
  <si>
    <t>622421494R00</t>
  </si>
  <si>
    <t>622904112R00</t>
  </si>
  <si>
    <t>622311113R00</t>
  </si>
  <si>
    <t>622428971R00</t>
  </si>
  <si>
    <t>622477221R00</t>
  </si>
  <si>
    <t>622451122R00</t>
  </si>
  <si>
    <t>602016201R00</t>
  </si>
  <si>
    <t>632451024R00</t>
  </si>
  <si>
    <t>639571311R00</t>
  </si>
  <si>
    <t>639571115R00</t>
  </si>
  <si>
    <t>711</t>
  </si>
  <si>
    <t>711132311R00</t>
  </si>
  <si>
    <t>711172559RV2</t>
  </si>
  <si>
    <t>711191271R00</t>
  </si>
  <si>
    <t>711191272RT1</t>
  </si>
  <si>
    <t>67390529</t>
  </si>
  <si>
    <t>998711101R00</t>
  </si>
  <si>
    <t>712</t>
  </si>
  <si>
    <t>712710010RA0</t>
  </si>
  <si>
    <t>712331101R00</t>
  </si>
  <si>
    <t>712378004R00</t>
  </si>
  <si>
    <t>712971801RZ8</t>
  </si>
  <si>
    <t>712400832R00</t>
  </si>
  <si>
    <t>712300831R00</t>
  </si>
  <si>
    <t>998712101R00</t>
  </si>
  <si>
    <t>713</t>
  </si>
  <si>
    <t>713181113RT2</t>
  </si>
  <si>
    <t>713141123R00</t>
  </si>
  <si>
    <t>28375460</t>
  </si>
  <si>
    <t>998713101R00</t>
  </si>
  <si>
    <t>728</t>
  </si>
  <si>
    <t>454791211R00</t>
  </si>
  <si>
    <t>711767588R00</t>
  </si>
  <si>
    <t>728618211R00</t>
  </si>
  <si>
    <t>998725101R00</t>
  </si>
  <si>
    <t>763762111R00</t>
  </si>
  <si>
    <t>762</t>
  </si>
  <si>
    <t>762441113RT2</t>
  </si>
  <si>
    <t>762911121R00</t>
  </si>
  <si>
    <t>762343101R00</t>
  </si>
  <si>
    <t>762395000R00</t>
  </si>
  <si>
    <t>60596002</t>
  </si>
  <si>
    <t>762341210RT2</t>
  </si>
  <si>
    <t>762333110RT3</t>
  </si>
  <si>
    <t>762331921R00</t>
  </si>
  <si>
    <t>762331941R00</t>
  </si>
  <si>
    <t>998762102R00</t>
  </si>
  <si>
    <t>764</t>
  </si>
  <si>
    <t>764411400R00</t>
  </si>
  <si>
    <t>764778122RT1</t>
  </si>
  <si>
    <t>764430291R00</t>
  </si>
  <si>
    <t>13851110</t>
  </si>
  <si>
    <t>764900050RA0</t>
  </si>
  <si>
    <t>764900040RA0</t>
  </si>
  <si>
    <t>764900020RA0</t>
  </si>
  <si>
    <t>998764101R00</t>
  </si>
  <si>
    <t>766</t>
  </si>
  <si>
    <t>766231111R00</t>
  </si>
  <si>
    <t>61250025</t>
  </si>
  <si>
    <t>998766101R00</t>
  </si>
  <si>
    <t>909      R00</t>
  </si>
  <si>
    <t>917862111RT5</t>
  </si>
  <si>
    <t>941941031R00</t>
  </si>
  <si>
    <t>941941191RT2</t>
  </si>
  <si>
    <t>941941501R00</t>
  </si>
  <si>
    <t>941941831R00</t>
  </si>
  <si>
    <t>944944011R00</t>
  </si>
  <si>
    <t>944944031R00</t>
  </si>
  <si>
    <t>944944081R00</t>
  </si>
  <si>
    <t>953761133R00</t>
  </si>
  <si>
    <t>728314121R00</t>
  </si>
  <si>
    <t>42952719</t>
  </si>
  <si>
    <t>952901111R00</t>
  </si>
  <si>
    <t>978015221R00</t>
  </si>
  <si>
    <t>974031121R00</t>
  </si>
  <si>
    <t>H99</t>
  </si>
  <si>
    <t>999281105R00</t>
  </si>
  <si>
    <t>M21</t>
  </si>
  <si>
    <t>210220002RT2</t>
  </si>
  <si>
    <t>210220003RT4</t>
  </si>
  <si>
    <t>210220021RT1</t>
  </si>
  <si>
    <t>210220101RT3</t>
  </si>
  <si>
    <t>210220101RT4</t>
  </si>
  <si>
    <t>210220301RT1</t>
  </si>
  <si>
    <t>210220301RT2</t>
  </si>
  <si>
    <t>210220301RT3</t>
  </si>
  <si>
    <t>210220302RT1</t>
  </si>
  <si>
    <t>210220302RT3</t>
  </si>
  <si>
    <t>210220321RT1</t>
  </si>
  <si>
    <t>210220372RT1</t>
  </si>
  <si>
    <t>210220401RT1</t>
  </si>
  <si>
    <t>210010002RT1</t>
  </si>
  <si>
    <t>210R02VD</t>
  </si>
  <si>
    <t>M22</t>
  </si>
  <si>
    <t>220890202R00</t>
  </si>
  <si>
    <t>220270284R00</t>
  </si>
  <si>
    <t>34195</t>
  </si>
  <si>
    <t>S</t>
  </si>
  <si>
    <t>979081111R00</t>
  </si>
  <si>
    <t>979081121R00</t>
  </si>
  <si>
    <t>979082111R00</t>
  </si>
  <si>
    <t>979094211R00</t>
  </si>
  <si>
    <t>979990101R00</t>
  </si>
  <si>
    <t>979990161R00</t>
  </si>
  <si>
    <t>979990001R00</t>
  </si>
  <si>
    <t>113106121R00</t>
  </si>
  <si>
    <t>112201101R00</t>
  </si>
  <si>
    <t>113107306R00</t>
  </si>
  <si>
    <t>113231110R00</t>
  </si>
  <si>
    <t>111101112R00</t>
  </si>
  <si>
    <t>120901122RT1</t>
  </si>
  <si>
    <t>120901121RT1</t>
  </si>
  <si>
    <t>122101101R00</t>
  </si>
  <si>
    <t>162301102R00</t>
  </si>
  <si>
    <t>162201455R00</t>
  </si>
  <si>
    <t>162201465R00</t>
  </si>
  <si>
    <t>162201475R00</t>
  </si>
  <si>
    <t>174201201R00</t>
  </si>
  <si>
    <t>184806152R00</t>
  </si>
  <si>
    <t>211561111RK1</t>
  </si>
  <si>
    <t>318261123RT2</t>
  </si>
  <si>
    <t>380941212RT1</t>
  </si>
  <si>
    <t>564851111R00</t>
  </si>
  <si>
    <t>596215021R00</t>
  </si>
  <si>
    <t>59245110</t>
  </si>
  <si>
    <t>597071122RU1</t>
  </si>
  <si>
    <t>622311510R00</t>
  </si>
  <si>
    <t>622311520RV1</t>
  </si>
  <si>
    <t>622311111R00</t>
  </si>
  <si>
    <t>622474110RT1</t>
  </si>
  <si>
    <t>721</t>
  </si>
  <si>
    <t>721242803R00</t>
  </si>
  <si>
    <t>721242110RT1</t>
  </si>
  <si>
    <t>998721101R00</t>
  </si>
  <si>
    <t>762341210R00</t>
  </si>
  <si>
    <t>762341811R00</t>
  </si>
  <si>
    <t>762331811R00</t>
  </si>
  <si>
    <t>764411240R00</t>
  </si>
  <si>
    <t>764454291R00</t>
  </si>
  <si>
    <t>767</t>
  </si>
  <si>
    <t>767426201R00</t>
  </si>
  <si>
    <t>63413001</t>
  </si>
  <si>
    <t>553427031</t>
  </si>
  <si>
    <t>998767101R00</t>
  </si>
  <si>
    <t>783</t>
  </si>
  <si>
    <t>783292002R00</t>
  </si>
  <si>
    <t>941954841R00</t>
  </si>
  <si>
    <t>941954251R00</t>
  </si>
  <si>
    <t>941954291R00</t>
  </si>
  <si>
    <t>976074131R00</t>
  </si>
  <si>
    <t>220110562R00</t>
  </si>
  <si>
    <t>35712337</t>
  </si>
  <si>
    <t>210R03VD</t>
  </si>
  <si>
    <t>35813881.A</t>
  </si>
  <si>
    <t>979990121R00</t>
  </si>
  <si>
    <t>M</t>
  </si>
  <si>
    <t>220890084R00</t>
  </si>
  <si>
    <t>110      R00</t>
  </si>
  <si>
    <t>201      R00</t>
  </si>
  <si>
    <t>180400020RA0</t>
  </si>
  <si>
    <t>181050010RA0</t>
  </si>
  <si>
    <t>H01</t>
  </si>
  <si>
    <t>998014205R00</t>
  </si>
  <si>
    <t>998014206R00</t>
  </si>
  <si>
    <t>220110583R00</t>
  </si>
  <si>
    <t>37501303</t>
  </si>
  <si>
    <t>M43</t>
  </si>
  <si>
    <t>430941002R00</t>
  </si>
  <si>
    <t>430941001R00</t>
  </si>
  <si>
    <t>430-pronájem</t>
  </si>
  <si>
    <t>430-pronájem WC</t>
  </si>
  <si>
    <t>ZŠ Brno, Hroznová 1, p. o., objekty školiček - rekonstrukce učeben a sociálního zařízení - zateplení</t>
  </si>
  <si>
    <t>Udržovací práce</t>
  </si>
  <si>
    <t>Brno Pisárky</t>
  </si>
  <si>
    <t>Zkrácený popis</t>
  </si>
  <si>
    <t>Rozměry</t>
  </si>
  <si>
    <t>Stavební úpravy - zatepelní objektu B</t>
  </si>
  <si>
    <t>Přípravné a přidružené práce</t>
  </si>
  <si>
    <t>Rozebrání dlažeb ze zámkové dlažby v kamenivu</t>
  </si>
  <si>
    <t>(19,75+2*2+11,85)*0,5</t>
  </si>
  <si>
    <t>Hloubené vykopávky</t>
  </si>
  <si>
    <t>Ruční výkop jam, rýh a šachet v hornině tř. 4-hromosvod, okap. chodník</t>
  </si>
  <si>
    <t>75*0,5*0,6</t>
  </si>
  <si>
    <t>19,3*0,5*0,3</t>
  </si>
  <si>
    <t>Přemístění výkopku</t>
  </si>
  <si>
    <t>Nakládání výkopku z hor.1-4 v množství do 100 m3</t>
  </si>
  <si>
    <t>Vodorovné přemístění výkopku z hor.1-4 do 50 m</t>
  </si>
  <si>
    <t>Vodorovné přemístění výkopku z hor.1-4 do 10000 m</t>
  </si>
  <si>
    <t>Příplatek k vod. přemístění hor.1-4 za další 1 km</t>
  </si>
  <si>
    <t>19,3*0,5*0,3*10</t>
  </si>
  <si>
    <t>Přeložení nebo složení výkopku z hor.1-4</t>
  </si>
  <si>
    <t>Konstrukce ze zemin</t>
  </si>
  <si>
    <t>Zásyp ruční se zhutněním</t>
  </si>
  <si>
    <t>22,5</t>
  </si>
  <si>
    <t>Uložení sypaniny na skl.-sypanina na výšku přes 2m</t>
  </si>
  <si>
    <t>Povrchové úpravy terénu</t>
  </si>
  <si>
    <t>Rozprostření ornice, rovina, tl. 15-20 cm,do 500m2</t>
  </si>
  <si>
    <t>19,3*1</t>
  </si>
  <si>
    <t>Ornice pro pozemkové úpravy</t>
  </si>
  <si>
    <t>19,3*1*0,3</t>
  </si>
  <si>
    <t>Hloubení pro podzemní stěny, ražení a hloubení důlní</t>
  </si>
  <si>
    <t>Poplatek za skládku horniny 1- 4</t>
  </si>
  <si>
    <t>Podkladní a vedlejší konstrukce (kromě vozovek a železničního svršku)</t>
  </si>
  <si>
    <t>Lože dlažby ze štěrkopísků tl. do 10 cm</t>
  </si>
  <si>
    <t>19,3*0,5</t>
  </si>
  <si>
    <t>Dlažby a předlažby pozemních komunikací a zpevněných ploch</t>
  </si>
  <si>
    <t>Kladení dlaždic kom.pro pěší, lože z kameniva těž. včetně dlaždic betonových HBB 50/50/5 cm</t>
  </si>
  <si>
    <t>Kladení zámkové dlažby tl. 8 cm do drtě tl. 4 cm</t>
  </si>
  <si>
    <t>Řezání zámkové dlažby tl. 80 mm</t>
  </si>
  <si>
    <t>(19,75+2*2+11,85)</t>
  </si>
  <si>
    <t>Úpravy povrchů,podlahy a osazování výplní otvorů</t>
  </si>
  <si>
    <t>Omítka stěn tenkovrstvá silikonová barevná,zatíraná, zrnitost 2,0 mm</t>
  </si>
  <si>
    <t>208,842+13,118+26,827-(1,35*3,65)</t>
  </si>
  <si>
    <t>Podkladní nátěr pod tenkovrstvé omítky</t>
  </si>
  <si>
    <t>243,86</t>
  </si>
  <si>
    <t>Omítka stěn mozaiková tl.2mm</t>
  </si>
  <si>
    <t>18,132</t>
  </si>
  <si>
    <t>Kontaktní nátěr pod mozaikové omítky</t>
  </si>
  <si>
    <t>Kontaktní nátěr pod omítky bílý - původní omítka penetrace</t>
  </si>
  <si>
    <t>208,842+13,118+26,827</t>
  </si>
  <si>
    <t>Omítka stropů tenkovrstvá silikonová barevná,zatíraná, zrnitost 2,0 mm</t>
  </si>
  <si>
    <t>(1,35*3,65)</t>
  </si>
  <si>
    <t>Podkladní nátěr pod tenkovrstvé omítky - strop</t>
  </si>
  <si>
    <t>Úprava povrchů vnitřní</t>
  </si>
  <si>
    <t>Hrubá výplň rýh ve stěnách maltou</t>
  </si>
  <si>
    <t>13,4*0,03</t>
  </si>
  <si>
    <t>Úprava povrchů vnější</t>
  </si>
  <si>
    <t>Zateplovací systém , fasáda, EPS 70F tl.160 mm,zakončený stěrkou s výztužnou tkaninou</t>
  </si>
  <si>
    <t>(19,34*2+0,16*2+0,16*14+0,19*7+0,16*6+1,5*2)*3,5   obvod</t>
  </si>
  <si>
    <t>(19,34*2+0,16*2)*0,78   atika</t>
  </si>
  <si>
    <t>4,45*10,88+5,44*1,1   štít</t>
  </si>
  <si>
    <t>1*(2,8*2+3,3)   přístřešek</t>
  </si>
  <si>
    <t>-(1,35*2,65+1,05*1,3*10+1,25*1,5+2,1*2,35*6)   otvory</t>
  </si>
  <si>
    <t>0,7*0,35*4   u atiky</t>
  </si>
  <si>
    <t>Zateplovací systém  fasáda, EPS 70F tl. 60 mm,zakončený stěrkou s výztužnou tkaninou</t>
  </si>
  <si>
    <t>(19,34*2+0,16*2)*0,21   římsa</t>
  </si>
  <si>
    <t>(1,35*3,65)   podhled přístřešek</t>
  </si>
  <si>
    <t>Izolace suterénu perimeter tl. 160 mm, bez PÚ</t>
  </si>
  <si>
    <t>(19,34*2+0,16*2+0,16*14+0,19*7+0,16*6+1,5*2)*(1,1-0,4)</t>
  </si>
  <si>
    <t>Zateplovací systém , sokl, perimeter tl. 160 mm,zakončený stěrkou s výztužnou tkaninou</t>
  </si>
  <si>
    <t>(19,34*2+0,16*2+0,16*14+0,19*7+0,16*6+1,5*2-1,2)*(1,1-0,7)</t>
  </si>
  <si>
    <t>Montáž výztužné sítě (perlinky) do stěrky-ostění-stěny,včetně výztužné sítě a stěrkového tmelu</t>
  </si>
  <si>
    <t>(1,35+2,65*2+1,05*10*2+1,3*10*2+1,25*2+1,5*2+2,1*2*6+2,35*2*6)*0,17   otvory</t>
  </si>
  <si>
    <t>3,5*0,35*3,14*2   sloupy</t>
  </si>
  <si>
    <t>Montáž výztužné sítě (perlinky) do stěrky-stěny,včetně výztužné sítě a stěrkového tmelu-rohy kolem oken 45stupňů 200*500mm</t>
  </si>
  <si>
    <t>(10+6+1+1+1)*4*0,2*0,5</t>
  </si>
  <si>
    <t>Zakrývání výplní vnějších otvorů z lešení</t>
  </si>
  <si>
    <t>(1,35*2,65+1,05*1,3*10+1,25*1,5+2,1*2,35*6)   otvory</t>
  </si>
  <si>
    <t>Doplňky zatepl. systémů, rohová lišta s okapničkou</t>
  </si>
  <si>
    <t>24,35</t>
  </si>
  <si>
    <t>3,7*22+2,35*11+19,34*2+5,2*2+4,6*2+1,5*2+3,5*2+4,75*2+4,6*2+0,4*4</t>
  </si>
  <si>
    <t>Doplňky zatepl. systémů, okenní lišta s tkaninou</t>
  </si>
  <si>
    <t>(2*2,65+2*1,3*10+2*1,5+2*2,35*6)   otvory</t>
  </si>
  <si>
    <t>Doplňky zatepl. systémů, podparapetní lišta s tkan</t>
  </si>
  <si>
    <t>(1,05*10+1,25+2,1*6)   otvory</t>
  </si>
  <si>
    <t>Očištění fasád tlakovou vodou složitost 1 - 2</t>
  </si>
  <si>
    <t>208,842+13,118+18,132</t>
  </si>
  <si>
    <t>Dilatační profil KZS rohový V</t>
  </si>
  <si>
    <t>5,7*2</t>
  </si>
  <si>
    <t>Příplatek k položce za vícebarevnou omítku+ styk a tvar barev</t>
  </si>
  <si>
    <t>208,842+13,118+18,132+26,827</t>
  </si>
  <si>
    <t>Oprava vnější omítky štukové stěn,sl.II,do 10%,SMS</t>
  </si>
  <si>
    <t>Omítka vnější stěn, MC s vodotěsnící přísadou, hrubá zatřená</t>
  </si>
  <si>
    <t>63,06</t>
  </si>
  <si>
    <t>Postřik stěn cementový, strojně</t>
  </si>
  <si>
    <t>Zateplovací systém , sokl, perimeter tl. 160 mm,zakončený stěrkou s výztužnou tkaninou-podstřešní část v přístavku.</t>
  </si>
  <si>
    <t>10,38*0,3</t>
  </si>
  <si>
    <t>Podlahy a podlahové konstrukce</t>
  </si>
  <si>
    <t>Vyrovnávací potěr MC 15, v pásu, tl. 50 mm -vyrovnání pod atiky</t>
  </si>
  <si>
    <t>10,8*0,75*1,1*2</t>
  </si>
  <si>
    <t>Okapový chodník - textilie proti prorůstání 45g/m2</t>
  </si>
  <si>
    <t>19,3*0,8</t>
  </si>
  <si>
    <t>Podklad pod okapový chodník ze štěrku tl.150 mm</t>
  </si>
  <si>
    <t>Izolace proti vodě</t>
  </si>
  <si>
    <t>Prov. izolace nopovou fólií svisle, vč.uchyc.prvků</t>
  </si>
  <si>
    <t>((19,34*2+0,16*2+13,23+0,16*2+0,15*23+1,5*2))*(0,7+0,85)/2</t>
  </si>
  <si>
    <t>Izolace proti vlhkosti svislá, fólií, volně,včetně fólie PE , tl. 1,5 mm</t>
  </si>
  <si>
    <t>((19,34*2+13,23+0,15*25+1,5*2))*(1+1,15)/2</t>
  </si>
  <si>
    <t>Izolace proti zem.vlhkosti,podklad.textilie,svislá,materiál ve specifikaci</t>
  </si>
  <si>
    <t>Izolace proti zem.vlhkosti,ochran.textilie,svislá,materiál ve specifikaci</t>
  </si>
  <si>
    <t>Textilie jutařská netkaná PP/500 -500 g/m2</t>
  </si>
  <si>
    <t>63,06*2</t>
  </si>
  <si>
    <t>;ztratné 10%; 12,612</t>
  </si>
  <si>
    <t>Přesun hmot pro izolace proti vodě, výšky do 6 m</t>
  </si>
  <si>
    <t>0,1607</t>
  </si>
  <si>
    <t>Izolace střech (živičné krytiny)</t>
  </si>
  <si>
    <t>Krytina střech do 25 st. živičným šindelem -doplnění po zateplení</t>
  </si>
  <si>
    <t>10,38*(0,6-0,16)</t>
  </si>
  <si>
    <t>Povlaková krytina střech do 10°, AIP na sucho</t>
  </si>
  <si>
    <t>Lemování stěny z XPS- systemový poplastovaný plech tl.06mm RŠ 250 mm k natavení mPVC folie</t>
  </si>
  <si>
    <t>10,5</t>
  </si>
  <si>
    <t>Překrytí spár fólií PVC přitav.k podkladu rš.50 cm,1 vrstva - vč. dodávky fólie 807 3,0 mm-ukončení šindelové střechy na krytině a na sys.plech</t>
  </si>
  <si>
    <t>Odstranění živičné krytiny střech do 30° 2vrstvé</t>
  </si>
  <si>
    <t>10,38*0,6</t>
  </si>
  <si>
    <t>Odstranění povlakové krytiny střech do 10° 1vrstvé</t>
  </si>
  <si>
    <t>Přesun hmot pro povlakové krytiny, výšky do 6 m</t>
  </si>
  <si>
    <t>0,1916-0,0623-0,0374</t>
  </si>
  <si>
    <t>Izolace tepelné</t>
  </si>
  <si>
    <t>Izolace minerální foukaná tl.300mm  do střešních konstrukcí, lamdá =0,039W/mK, objemová hmotnost 40-60kg/m3,reak.na oheň A1,hyg.nezávadnost</t>
  </si>
  <si>
    <t>(18,1*9,95+2,7*1,8)*0,3*1,05</t>
  </si>
  <si>
    <t>Izolace tepelná střech bodově lep. tmelem ,1vrstvá-atikový spád</t>
  </si>
  <si>
    <t>Polystyren extrudovaný XPS-spádový</t>
  </si>
  <si>
    <t>(10,8*0,75*1,1*2)*0,04</t>
  </si>
  <si>
    <t>;ztratné 2%; 0,01426</t>
  </si>
  <si>
    <t>Přesun hmot pro izolace tepelné, výšky do 6 m</t>
  </si>
  <si>
    <t>4,3396</t>
  </si>
  <si>
    <t>Vzduchotechnika</t>
  </si>
  <si>
    <t>Osazení plastických prostupů těles - vzduchotechnika -prostup konstrukcí stropů</t>
  </si>
  <si>
    <t>Opracování prostupů na plášť. troubu, D do 200 mm-prostup vzduchotechniky živ.krytinou</t>
  </si>
  <si>
    <t>Ventilační turbína, Al elox hlavice - P 710m3/hod., včetně potrubí a kolen do půdního prostředí - průměr potrubí 305mm - odvětrání střešního pláště</t>
  </si>
  <si>
    <t>Přesun hmot pro vzduchotechniku předměty, výšky do 6 m</t>
  </si>
  <si>
    <t>0,0284-0,0017</t>
  </si>
  <si>
    <t>Vyřezání prostupů v střešním panelu o pl. do 100 cm2</t>
  </si>
  <si>
    <t>Konstrukce tesařské</t>
  </si>
  <si>
    <t>Montáž obložení atiky,dřevoštěpkové desky,1vrst.,hmoždinkami,včetně dodávky desky  N tl. 18 mm</t>
  </si>
  <si>
    <t>Impregnace řeziva tlakovakuová</t>
  </si>
  <si>
    <t>0,184+29,52*(0,06*0,16)+8,64*0,025</t>
  </si>
  <si>
    <t>Montáž roštu pro tepelnou izolaci</t>
  </si>
  <si>
    <t>10,8/0,4*0,75*1,1*2</t>
  </si>
  <si>
    <t>Spojovací a ochranné prostředky pro střechy</t>
  </si>
  <si>
    <t>17,82*0,018+0,184+29,52*0,06*0,16+8,64*0,025</t>
  </si>
  <si>
    <t>Řezivo - fošny, hranoly</t>
  </si>
  <si>
    <t>44,55*0,06*0,06</t>
  </si>
  <si>
    <t>;ztratné 15%; 0,024</t>
  </si>
  <si>
    <t>Montáž bednění střech rovných, prkna hrubá na sraz,včetně dodávky řeziva, prkna tl. 25 mm</t>
  </si>
  <si>
    <t>2,88*3</t>
  </si>
  <si>
    <t>Montáž vázaných krovů nepravidelných do 120 cm2</t>
  </si>
  <si>
    <t>3*6+2,88*4</t>
  </si>
  <si>
    <t>Vyřezání části střešní vazby do 224 cm2,do dl.3 m</t>
  </si>
  <si>
    <t>0,5*2   dřev trámy fasáda</t>
  </si>
  <si>
    <t>Vyřezání části střešní vazby do 450 cm2,do dl.3 m</t>
  </si>
  <si>
    <t>Přesun hmot pro tesařské konstrukce, výšky do 12 m</t>
  </si>
  <si>
    <t>0,7219-0,0498</t>
  </si>
  <si>
    <t>Konstrukce klempířské</t>
  </si>
  <si>
    <t>K01- Oplechování parapetů, ohýbaný  Al plech tl.0,6mm rš 375 mm-s povrchovou práškovou úpravou(komaxit)bílá RAL9010, včetně příslušenství</t>
  </si>
  <si>
    <t>1*10</t>
  </si>
  <si>
    <t>K02- Oplechování parapetů, ohýbaný  Al plech tl.0,6mm rš 375 mm-s povrchovou práškovou úpravou(komaxit)bílá RAL9010, včetně příslušenství</t>
  </si>
  <si>
    <t>1,25*1</t>
  </si>
  <si>
    <t>K03- Oplechování parapetů, ohýbaný  Al plech tl.0,6mm rš 375 mm-s povrchovou práškovou úpravou(komaxit)bílá RAL9010, včetně příslušenství</t>
  </si>
  <si>
    <t>2,1*6</t>
  </si>
  <si>
    <t>K04-Odpadní trouby kruh.D 100 mm - z poplastovaného Pz plechu tl.0,6mm ČSN EN 612, včetně doplňků a připoj. prvků(kolena,objímky,prodl.držáky,kotlíky)</t>
  </si>
  <si>
    <t>19,8</t>
  </si>
  <si>
    <t>K05-Oplechování Atiky rš 860-výroba a montáž</t>
  </si>
  <si>
    <t>10,8</t>
  </si>
  <si>
    <t>Poplastovaný plech -  tabule plech. tl. 0,6  1000 x 2000 mm</t>
  </si>
  <si>
    <t>10,8*0,86</t>
  </si>
  <si>
    <t>;ztratné 10%; 0,9288</t>
  </si>
  <si>
    <t>K06-Oplechování Atiky rš 960-výroba a montáž</t>
  </si>
  <si>
    <t>10,8*0,96</t>
  </si>
  <si>
    <t>;ztratné 10%; 1,0368</t>
  </si>
  <si>
    <t>Demontáž oplechování parapetů</t>
  </si>
  <si>
    <t>10+1,25+12,6</t>
  </si>
  <si>
    <t>Demontáž odpadních trub</t>
  </si>
  <si>
    <t>Demontáž oplechování zdí</t>
  </si>
  <si>
    <t>10,8*2</t>
  </si>
  <si>
    <t>Přesun hmot pro klempířské konstr., výšky do 6 m</t>
  </si>
  <si>
    <t>0,5039-0,0497-0,0432-0,0665</t>
  </si>
  <si>
    <t>Konstrukce truhlářské</t>
  </si>
  <si>
    <t>Montáž stahovacích půdních schodů</t>
  </si>
  <si>
    <t>P2-Půdní výlez-schody skládací dřevěné EW 15 DP3 120x70cm do výšky 3400mm zat. U=1,2W/(m2.K)</t>
  </si>
  <si>
    <t>Přesun hmot pro truhlářské konstr., výšky do 6 m</t>
  </si>
  <si>
    <t>0,035</t>
  </si>
  <si>
    <t>Hodinové zúčtovací sazby (HZS)</t>
  </si>
  <si>
    <t>Demontáže původní el. instalace, hromosvodů, opětovná montáž fasádních prvků (tabule, držáky, zvonky, čidla atd.)</t>
  </si>
  <si>
    <t>Doplňující konstrukce a práce na pozemních komunikacích a zpevněných plochách</t>
  </si>
  <si>
    <t>Osazení stojat. obrub.bet. s opěrou,lože z C 12/15 včetně obrubníku ABO 100/10/25 a bet. C12/15</t>
  </si>
  <si>
    <t>19,3</t>
  </si>
  <si>
    <t>Lešení a stavební výtahy</t>
  </si>
  <si>
    <t>Montáž lešení leh.řad.s podlahami,š.do 1 m, H 10 m</t>
  </si>
  <si>
    <t>(20,5*2+13,5+1,5+1,5)*5</t>
  </si>
  <si>
    <t>Příplatek za každý měsíc použití lešení k pol.1031</t>
  </si>
  <si>
    <t>287,5*2</t>
  </si>
  <si>
    <t>Doprava 1 m2 fasádního lešení (dovoz a odvoz)</t>
  </si>
  <si>
    <t>287,5*25*2</t>
  </si>
  <si>
    <t>Demontáž lešení leh.řad.s podlahami,š.1 m, H 10 m</t>
  </si>
  <si>
    <t>287,5</t>
  </si>
  <si>
    <t>Montáž ochranné sítě z umělých vláken</t>
  </si>
  <si>
    <t>Příplatek za každý měsíc použití sítí k pol. 4011</t>
  </si>
  <si>
    <t>Demontáž ochranné sítě z umělých vláken</t>
  </si>
  <si>
    <t>Různé dokončovací konstrukce a práce na pozemních stavbách</t>
  </si>
  <si>
    <t>Odvětrání troubami PVC kruhovými 160x3,2 mm</t>
  </si>
  <si>
    <t>0,45*2</t>
  </si>
  <si>
    <t>Montáž protidešť. žaluzie kruhové do d 300 mm</t>
  </si>
  <si>
    <t>Z02- Mřížka ochranná protidešťová žaluzie kruhová pr. 160mm - nerezová se siťkou proti hmyzu</t>
  </si>
  <si>
    <t>Vyčištění budov o výšce podlaží do 4 m, vyklizení půdy</t>
  </si>
  <si>
    <t>167,24</t>
  </si>
  <si>
    <t>Prorážení otvorů a ostatní bourací práce</t>
  </si>
  <si>
    <t>Otlučení omítek vnějších MVC v složit.1-4 do 10 %</t>
  </si>
  <si>
    <t>Vysekání rýh ve zdi cihelné 3 x 3 cm</t>
  </si>
  <si>
    <t>13,4</t>
  </si>
  <si>
    <t>Ostatní přesuny hmot</t>
  </si>
  <si>
    <t>Přesun hmot pro opravy a údržbu do výšky 6 m</t>
  </si>
  <si>
    <t>37,79065</t>
  </si>
  <si>
    <t>Elektromontáže</t>
  </si>
  <si>
    <t>Vedení uzemňovací na povrchu FeZn D 10 mm,včetně drátu FeZn 10 mm</t>
  </si>
  <si>
    <t>Vedení uzemňovací na povrchu Cu do 50 mm2,včetně dodávky CY 25 mm2 lano</t>
  </si>
  <si>
    <t>Vedení uzemňovací v zemi FeZn do 120 mm2, včetně pásku FeZn 30 x 4 mm</t>
  </si>
  <si>
    <t>Vodiče svodové FeZn D do 10,Al 10,Cu 8 +podpěry,včetně dodávky drátu FeZn 8 mm + PV01</t>
  </si>
  <si>
    <t>Vodiče svodové FeZn D do 10,Al 10,Cu 8 +podpěry,včetně dodávky drátu FeZn 8 mm + PV 21</t>
  </si>
  <si>
    <t>Svorka hromosvodová do 2 šroubů /SS, SZ, SO/,včetně dodávky svorky SO</t>
  </si>
  <si>
    <t>Svorka hromosvodová do 2 šroubů /SS, SZ, SO/,včetně dodávky svorky SS</t>
  </si>
  <si>
    <t>Svorka hromosvodová do 2 šroubů /SS, SZ, SO/,včetně dodávky svorky SZ</t>
  </si>
  <si>
    <t>Svorka hromosvodová nad 2 šrouby /ST, SJ, SR, atd/,včetně dodávky svorky SR 2b Fe pro pásek 30x4 mm</t>
  </si>
  <si>
    <t>Svorka hromosvodová nad 2 šrouby /ST, SJ, SR, atd/,včetně dodávky svorky SK pro vodič d 6-10 mm</t>
  </si>
  <si>
    <t>Svorka na potrubí Bernard, včetně Cu pásku,včetně dodávky svorky + Cu pásku</t>
  </si>
  <si>
    <t>Úhelník ochranný nebo trubka s držáky do zdiva,včetně ochran.úhelníku + 2 držáky do zdi</t>
  </si>
  <si>
    <t>Označení svodu štítky, smaltované, umělá hmota,včetně dodávky štítku</t>
  </si>
  <si>
    <t>Trubka ohebná pod omítku, typ 23.. 16 mm,včetně dodávky trubky PVC 2316</t>
  </si>
  <si>
    <t>10,4+1,5+1,5</t>
  </si>
  <si>
    <t>Demontáž a opětovná montáž nástěnných svítidel s pohybovým čidlem E27/60W, IP44</t>
  </si>
  <si>
    <t>Montáže sdělovací a zabezpečovací techniky</t>
  </si>
  <si>
    <t>Revize bleskosvodu vč. revizní zprávy</t>
  </si>
  <si>
    <t>Zatažení vodiče 4x0,8 mm do prázdných trubek</t>
  </si>
  <si>
    <t>Materiál pro elektroinstalaci-doplňkový pomocný</t>
  </si>
  <si>
    <t>Přesuny sutí</t>
  </si>
  <si>
    <t>Odvoz suti a vybour. hmot na skládku do 1 km</t>
  </si>
  <si>
    <t>1,238+0,0497+0,0432+0,0665+0,0498+0,0017+0,1057</t>
  </si>
  <si>
    <t>Příplatek k odvozu za každý další 1 km</t>
  </si>
  <si>
    <t>(1,555)*10</t>
  </si>
  <si>
    <t>Vnitrostaveništní doprava suti do 10 m</t>
  </si>
  <si>
    <t>1,555</t>
  </si>
  <si>
    <t>Nakládání nebo překládání vybourané suti</t>
  </si>
  <si>
    <t>Poplatek za skládku suti - směs betonu a cihel</t>
  </si>
  <si>
    <t>1,2378</t>
  </si>
  <si>
    <t>Poplatek za skládku suti - dřevo</t>
  </si>
  <si>
    <t>0,0498+0,0017</t>
  </si>
  <si>
    <t>Poplatek za skládku stavební suti</t>
  </si>
  <si>
    <t>0,1057</t>
  </si>
  <si>
    <t>Stavební úpravy - zateplení objektu C</t>
  </si>
  <si>
    <t>(5*2+10,8+24,5+0,5*2)*0,5</t>
  </si>
  <si>
    <t>30,54   zpevněná plocha před objektem přístavby</t>
  </si>
  <si>
    <t>Rozebrání dlažeb z betonových dlaždic na sucho</t>
  </si>
  <si>
    <t>28*1,5+13*0,6+4*1,5   chodník u skleníku</t>
  </si>
  <si>
    <t>Odstranění pařezů pod úrovní, o průměru 10 - 30 cm</t>
  </si>
  <si>
    <t>Odstranění podkladu pl. 50 m2,kam.těžené tl.6 cm</t>
  </si>
  <si>
    <t>(5*2+10,8+0,5*2)*0,5</t>
  </si>
  <si>
    <t>Bourání odvodňovacího žlabu, zatíž. A15, š.100 mm</t>
  </si>
  <si>
    <t>17   podél skleníku</t>
  </si>
  <si>
    <t>Odstranění ruderálního porostu na svahu do 1:2</t>
  </si>
  <si>
    <t>20,5*2,5</t>
  </si>
  <si>
    <t>Odkopávky a prokopávky</t>
  </si>
  <si>
    <t>Bourání konstrukcí z betonu prokl.kam. v odkopávk., vybourání bet. desek okap. chodník</t>
  </si>
  <si>
    <t>1,16*15,97*0,2   bet. desky okapový chodník JZ</t>
  </si>
  <si>
    <t>Bourání konstrukcí z prostého betonu v odkopávkách</t>
  </si>
  <si>
    <t>2,61*0,3   bourání schodiště u přístavby</t>
  </si>
  <si>
    <t>Odkopávky nezapažené v hor. 2 do 100 m3</t>
  </si>
  <si>
    <t>2,81*0,5   odkop zemniny u terénního schodiště přístavby</t>
  </si>
  <si>
    <t>21,3*0,5*0,3</t>
  </si>
  <si>
    <t>30,54*0,15</t>
  </si>
  <si>
    <t>(28*1,5+13*1,5+4*1,5)*0,2   chodník u skleníku</t>
  </si>
  <si>
    <t>(28+13+4)*0,5*0,3</t>
  </si>
  <si>
    <t>2,81*0,5</t>
  </si>
  <si>
    <t>(28*1,5+13*1,5+4*1,5)*0,2</t>
  </si>
  <si>
    <t>Vodorovné přemístění výkopku z hor.1-4 do 1000 m</t>
  </si>
  <si>
    <t>21,3*0,5*0,3*10</t>
  </si>
  <si>
    <t>2,81*0,5*10</t>
  </si>
  <si>
    <t>30,54*0,15*10</t>
  </si>
  <si>
    <t>(28*1,5+13*1,5+4*1,5)*0,2*10</t>
  </si>
  <si>
    <t>((28+13+4)*0,5*0,3)*10</t>
  </si>
  <si>
    <t>Vod.přemístění větví listnatých, D 30cm  do 3000 m</t>
  </si>
  <si>
    <t>Vod.přemístění kmenů listnatých, D 30cm  do 3000 m</t>
  </si>
  <si>
    <t>Vodorovné přemístění pařezů  D 30 cm do 3000 m</t>
  </si>
  <si>
    <t>Zásyp jam po pařezech D 30 cm</t>
  </si>
  <si>
    <t>Řez průklestem netrnitých keřů D koruny do 3 m</t>
  </si>
  <si>
    <t>Úprava podloží a základové spáry</t>
  </si>
  <si>
    <t>Výplň odvodňovacích žeber kam. hrubě drcen. 16 mm,kraj Jihomoravský</t>
  </si>
  <si>
    <t>Zdi podpěrné a volné</t>
  </si>
  <si>
    <t>Stříška plotu ze zákryt.desek šířky 300</t>
  </si>
  <si>
    <t>Různé kompletní konstrukce nedělitelné do stav. dílů</t>
  </si>
  <si>
    <t>Výztuž helikální 1 x D 6 mm, drážka, ŽB</t>
  </si>
  <si>
    <t>1,0+1+0,5+0,3+1+0,8+1,1   praskliny terénní schodiště přístavba</t>
  </si>
  <si>
    <t>0,4+0,5   plot</t>
  </si>
  <si>
    <t>0,5*3   schodiště u hřiště</t>
  </si>
  <si>
    <t>0,5+0,6+0,4*10   stěna u hřiště</t>
  </si>
  <si>
    <t>0,5*4*2   hlavní objekt C</t>
  </si>
  <si>
    <t>21,4*0,5</t>
  </si>
  <si>
    <t>Podkladní vrstvy komunikací, letišť a ploch</t>
  </si>
  <si>
    <t>Podklad ze štěrkodrti po zhutnění tloušťky 15 cm</t>
  </si>
  <si>
    <t>30,54</t>
  </si>
  <si>
    <t>(28*1,5+13*1,5+4*1,5)</t>
  </si>
  <si>
    <t>Kladení zámkové dlažby tl. 6 cm do drtě tl. 4 cm</t>
  </si>
  <si>
    <t>30,54   zpevněná plocha u přístavby</t>
  </si>
  <si>
    <t>(28*1,5+13*1,5+4*1,5)   chodník u skleníku</t>
  </si>
  <si>
    <t>17*0,2   žlab položení</t>
  </si>
  <si>
    <t>Dlažba sklad. I 20x10x6 cm přírodní</t>
  </si>
  <si>
    <t>;ztratné 10%; 6,75</t>
  </si>
  <si>
    <t>Žlab odvodňovací 100, dl.1000 mm, B 125, můstkový litinový rošt</t>
  </si>
  <si>
    <t>(5*2+10,8+24,5+0,5*2)/2</t>
  </si>
  <si>
    <t>225,446+56,03+20,914</t>
  </si>
  <si>
    <t>302,39</t>
  </si>
  <si>
    <t>31,731+5,56</t>
  </si>
  <si>
    <t>37,291</t>
  </si>
  <si>
    <t>339,681</t>
  </si>
  <si>
    <t>7,2*0,03</t>
  </si>
  <si>
    <t>4,45*10,88+5,44*1,1*2+10,88*1,5   štít</t>
  </si>
  <si>
    <t>1*(1,6*2)   přístřešek</t>
  </si>
  <si>
    <t>5*(2,2+3,15)/2*2+10,4*2,6-0,7*0,7*4-1,9*2,1   přístavek</t>
  </si>
  <si>
    <t>(19,34*2+0,16*2+0,16*14+0,19*7+0,16*6+1,5*2)*(1,1-0,5)</t>
  </si>
  <si>
    <t>(19,34*2+0,16*2+0,16*14+0,19*7+0,16*6+1,5*2-1,2)*(1,1-0,6+0,2)</t>
  </si>
  <si>
    <t>Izolace suterénu perimeter tl. 60 mm, bez PÚ</t>
  </si>
  <si>
    <t>(5*2+10,4)*0,5   přístavek</t>
  </si>
  <si>
    <t>Zateplovací systém perimeter, sokl, XPS tl. 60 mm,zakončený stěrkou s výztužnou tkaninou</t>
  </si>
  <si>
    <t>(5+10,4-1,9+0,2*2)*0,4   přístavek</t>
  </si>
  <si>
    <t>(0,7*4+1,9+2,1*2)*0,2</t>
  </si>
  <si>
    <t>(10+6+1+1+1+4+1)*4*0,2*0,5</t>
  </si>
  <si>
    <t>(1,35*2,65+1,05*1,3*10+1,25*1,5+2,1*2,35*6)+0,7*0,7*4+1,9*2,1   otvory</t>
  </si>
  <si>
    <t>24,35+0,7*4+1,9</t>
  </si>
  <si>
    <t>3,7*22+2,35*11+19,34*2+5,2*2+4,6*2+1,5*2+3,5*2+4,75*4+4,6*4+0,4*4+0,4*12</t>
  </si>
  <si>
    <t>(2*2,65+2*1,3*10+2*1,5+2*2,35*6)+0,7*4*2+2,1*2   otvory</t>
  </si>
  <si>
    <t>(1,05*10+1,25+2,1*6)+0,7*4   otvory</t>
  </si>
  <si>
    <t>(5,17+1,85)*1,2+(5,17+1,85)*0,3   opěrná stěna</t>
  </si>
  <si>
    <t>1,8*1,2/2+0,35*5   stěna u terénního schodiště</t>
  </si>
  <si>
    <t>7,5*1*2+7,5*0,5+0,3*0,8   terénní schodiště u přístavby</t>
  </si>
  <si>
    <t>1,76*0,45*15   stupně</t>
  </si>
  <si>
    <t>4,8</t>
  </si>
  <si>
    <t>Dilatační profil KZS  průběžný E</t>
  </si>
  <si>
    <t>225,446+56,03+31,731+20,914+5,56</t>
  </si>
  <si>
    <t>63,221</t>
  </si>
  <si>
    <t>63,221   vyrovnání podkladu sokl</t>
  </si>
  <si>
    <t>Reprofilace beton.povrchů sanační maltou, tl.10 mm</t>
  </si>
  <si>
    <t>Vyrovnávací potěr MC 15, v pásu, tl. 50 mm</t>
  </si>
  <si>
    <t>Prov. izolace nopovou fólií svisle, vč.uchyc.prvků-přístavek</t>
  </si>
  <si>
    <t>(5*2+10,8)*0,6</t>
  </si>
  <si>
    <t>((19,34*2+0,16*2+13,23+0,16*2+0,15*23+1,5*2))*(0,7+0,4)/2</t>
  </si>
  <si>
    <t>((19,34*2+13,23+0,15*26+1,5*2))*(1+1,15)/2</t>
  </si>
  <si>
    <t>63,221*2</t>
  </si>
  <si>
    <t>;ztratné 10%; 12,6442</t>
  </si>
  <si>
    <t>0,161</t>
  </si>
  <si>
    <t>Vnitřní kanalizace</t>
  </si>
  <si>
    <t>Demontáž lapače střešních splavenin DN 100</t>
  </si>
  <si>
    <t>Lapač střešních splavenin PP HL600 D 110 mm, kloub,zápachová klapka, koš na listí</t>
  </si>
  <si>
    <t>Přesun hmot pro vnitřní kanalizaci, výšky do 6 m</t>
  </si>
  <si>
    <t>0,5854-0,1268</t>
  </si>
  <si>
    <t>Přesun hmot pro vzduchotechniku , výšky do 6 m</t>
  </si>
  <si>
    <t>Impregnace řeziva tlakovakuová Bochemit QB</t>
  </si>
  <si>
    <t>44,55*0,06*0,06+8,719*0,025+29,52*0,06*0,16</t>
  </si>
  <si>
    <t>17,82*0,018+44,55*0,06*0,06+8,719*0,025+29,52*0,16*0,06</t>
  </si>
  <si>
    <t>Montáž bednění střech rovných, prkna hrubá na sraz</t>
  </si>
  <si>
    <t>10,38*(1-0,16)</t>
  </si>
  <si>
    <t>Demontáž bednění střech rovných z prken hrubých</t>
  </si>
  <si>
    <t>Demontáž konstrukcí krovů z hranolů do 120 cm2</t>
  </si>
  <si>
    <t>2,8*2+3,5+3*4   demontáž přístřešku přístavba</t>
  </si>
  <si>
    <t>0,7647-0,0934</t>
  </si>
  <si>
    <t>Oplechování parapetů,ohýbaný  Al plech tl.0,6mm rš 240 mm-s povrchovou práškovou úpravou(komaxit)bílá RAL9010, včetně příslušenství</t>
  </si>
  <si>
    <t>0,7*4</t>
  </si>
  <si>
    <t>21,6</t>
  </si>
  <si>
    <t>21,6*0,86</t>
  </si>
  <si>
    <t>;ztratné 10%; 1,8576</t>
  </si>
  <si>
    <t>Montáž trub Pz odpadních kruhových -zpětná přístavba</t>
  </si>
  <si>
    <t>10+1,25+12,6+0,7*4</t>
  </si>
  <si>
    <t>21,6+10,5</t>
  </si>
  <si>
    <t>18+3*2</t>
  </si>
  <si>
    <t>0,5106-0,0497-0,0482-0,0806</t>
  </si>
  <si>
    <t>Konstrukce doplňkové stavební (zámečnické)</t>
  </si>
  <si>
    <t>Montáž zavěšených přístřešků kovových s výplní z bezpečnostního skla</t>
  </si>
  <si>
    <t>0,9*1,75*2</t>
  </si>
  <si>
    <t>Sklo smaltované kalené</t>
  </si>
  <si>
    <t>;ztratné 15%; 0,4725</t>
  </si>
  <si>
    <t>Konstrukce nosná a podpěrná pro smalt. kalené sklo, včetně nerezových táhel,úchytů a kotev do zdiva</t>
  </si>
  <si>
    <t>1,75*0,9*2</t>
  </si>
  <si>
    <t>Přesun hmot pro zámečnické konstr., výšky do 6 m</t>
  </si>
  <si>
    <t>0,0335</t>
  </si>
  <si>
    <t>Nátěry</t>
  </si>
  <si>
    <t>Nátěr disperzní kovových konstrukcí 1+ 2x email</t>
  </si>
  <si>
    <t>16,53</t>
  </si>
  <si>
    <t>21,4</t>
  </si>
  <si>
    <t>28+13+4*2   chodník u skleníku</t>
  </si>
  <si>
    <t>(20,5*2+13,5+1,5+1,5)*5+(5+5+1,5*2+10,8)*3</t>
  </si>
  <si>
    <t>358,9*2</t>
  </si>
  <si>
    <t>358,9</t>
  </si>
  <si>
    <t>386,5*25*2</t>
  </si>
  <si>
    <t>358,9+27,6</t>
  </si>
  <si>
    <t>386,5*2</t>
  </si>
  <si>
    <t>386,5</t>
  </si>
  <si>
    <t>Demontáž lešení vysunutého s podepřením, H 20 m</t>
  </si>
  <si>
    <t>(10,8+1,5*2)*2</t>
  </si>
  <si>
    <t>Montáž lešení vysut. strop, bez podepření H 20 m</t>
  </si>
  <si>
    <t>27,6</t>
  </si>
  <si>
    <t>Připl. za každý měsíc použití lešení k pol. 4251-2</t>
  </si>
  <si>
    <t>27,6*2</t>
  </si>
  <si>
    <t>0,45*3</t>
  </si>
  <si>
    <t>3+3</t>
  </si>
  <si>
    <t>Vybourání kotevních želez zeď cihelná MC</t>
  </si>
  <si>
    <t>7,2</t>
  </si>
  <si>
    <t>Montáž celoplech.rozvaděče B 1 do zdi</t>
  </si>
  <si>
    <t>Skříň rozvaděčová nástěnná exteriér</t>
  </si>
  <si>
    <t>Osazení plastových skříněk do ETICS</t>
  </si>
  <si>
    <t>Skříň plastová prázdná, 2 otvory</t>
  </si>
  <si>
    <t>1   revizní skříňka internet</t>
  </si>
  <si>
    <t>1,7283+0,0738+0,0482+0,0806+0,0017+0,0249+0,0734+0,1268+0,0623+0,0374+13,42</t>
  </si>
  <si>
    <t>(1,7283+0,0738+0,0482+0,0806+0,0017+0,0249+0,0734+0,1268+0,0623+0,0374+13,42)*10</t>
  </si>
  <si>
    <t>1,7283+13,42</t>
  </si>
  <si>
    <t>Poplatek za skládku suti - asfaltové pásy</t>
  </si>
  <si>
    <t>0,0623+0,0374</t>
  </si>
  <si>
    <t>0,0249+0,0017+1,6888</t>
  </si>
  <si>
    <t>0,1268</t>
  </si>
  <si>
    <t>Vedlejší a ostatní rozpočtové náklady</t>
  </si>
  <si>
    <t>Montážní přirážky</t>
  </si>
  <si>
    <t>Účast projektanta dodavatele na stavbě-vypracování výrobní dokumentace pro dodavatele</t>
  </si>
  <si>
    <t>Účast technika na stavbě-inženýrská činnost dodavatele – práce spojené s realizací kolaudace (vyjádření, revize, zkoušky atd.)</t>
  </si>
  <si>
    <t>Účast projektanta na stavbě-dokumentace skutečného provedení stavby (3 paré) pro dodavatele</t>
  </si>
  <si>
    <t>Mimostaveništní doprava individuální</t>
  </si>
  <si>
    <t>2400646,45/100</t>
  </si>
  <si>
    <t>Kompletační činnost a koordinační činnost s přímými dodavateli</t>
  </si>
  <si>
    <t>Zařízení staveniště</t>
  </si>
  <si>
    <t>Založení trávníku parkového, rovina, dodání osiva-po provizorní staveništní komunikaci</t>
  </si>
  <si>
    <t>14*7/5*1,5</t>
  </si>
  <si>
    <t>Terénní modelace-všechny úpravy pro výsev trávy</t>
  </si>
  <si>
    <t>98/5*1,5</t>
  </si>
  <si>
    <t>Budovy občanské výstavby</t>
  </si>
  <si>
    <t>Přesun hmot, mobilní buňky, příplatek do 5 km</t>
  </si>
  <si>
    <t>4,6/10</t>
  </si>
  <si>
    <t>Přesun hmot, mobilní buňky, přípl. za dalších 5 km</t>
  </si>
  <si>
    <t>4,6*10</t>
  </si>
  <si>
    <t>Montáž celoplech.rozvaděče - provizorní zapojení</t>
  </si>
  <si>
    <t>Nástěnná rozvaděčová skříň systému, BM103 (staveništní rozvaděč hlavní)</t>
  </si>
  <si>
    <t>Montáže ocelových konstrukcí</t>
  </si>
  <si>
    <t>Demont. typ. objektů zařízení staveniště k použití</t>
  </si>
  <si>
    <t>1150*1/100/5*2</t>
  </si>
  <si>
    <t>Montáž typových objektů zařízení staveniště</t>
  </si>
  <si>
    <t>Pronájem buněk pro soc.zařízení a sklady 1ks</t>
  </si>
  <si>
    <t>5*1/5*2</t>
  </si>
  <si>
    <t>Pronájem WC zařízení (předpoklad 1ks na 2 měsíců)</t>
  </si>
  <si>
    <t>Doba výstavby:</t>
  </si>
  <si>
    <t>Začátek výstavby:</t>
  </si>
  <si>
    <t>Konec výstavby:</t>
  </si>
  <si>
    <t>Zpracováno dne:</t>
  </si>
  <si>
    <t> </t>
  </si>
  <si>
    <t>M.j.</t>
  </si>
  <si>
    <t>m2</t>
  </si>
  <si>
    <t>m3</t>
  </si>
  <si>
    <t>m</t>
  </si>
  <si>
    <t>t</t>
  </si>
  <si>
    <t>kus</t>
  </si>
  <si>
    <t>h</t>
  </si>
  <si>
    <t>km</t>
  </si>
  <si>
    <t>ks</t>
  </si>
  <si>
    <t>%</t>
  </si>
  <si>
    <t>100 kg</t>
  </si>
  <si>
    <t>měsíc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</si>
  <si>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</si>
  <si>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</si>
  <si>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</si>
  <si>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</si>
  <si>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</si>
  <si>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</si>
  <si>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</si>
  <si>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Městská část Brno-střed</t>
  </si>
  <si>
    <t>ENERGY BENEFIT CENTRE a.s.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</si>
  <si>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</si>
  <si>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</si>
  <si>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</si>
  <si>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</si>
  <si>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</si>
  <si>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</si>
  <si>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</si>
  <si>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</si>
  <si>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</si>
  <si>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</si>
  <si>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</si>
  <si>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</si>
  <si>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</si>
  <si>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</si>
  <si>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</si>
  <si>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</si>
  <si>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 01B</t>
  </si>
  <si>
    <t>SO 01C</t>
  </si>
  <si>
    <t>VORN</t>
  </si>
  <si>
    <t>ZS</t>
  </si>
  <si>
    <t>11_</t>
  </si>
  <si>
    <t>13_</t>
  </si>
  <si>
    <t>16_</t>
  </si>
  <si>
    <t>17_</t>
  </si>
  <si>
    <t>18_</t>
  </si>
  <si>
    <t>19_</t>
  </si>
  <si>
    <t>45_</t>
  </si>
  <si>
    <t>59_</t>
  </si>
  <si>
    <t>6_</t>
  </si>
  <si>
    <t>61_</t>
  </si>
  <si>
    <t>62_</t>
  </si>
  <si>
    <t>63_</t>
  </si>
  <si>
    <t>711_</t>
  </si>
  <si>
    <t>712_</t>
  </si>
  <si>
    <t>713_</t>
  </si>
  <si>
    <t>728_</t>
  </si>
  <si>
    <t>762_</t>
  </si>
  <si>
    <t>764_</t>
  </si>
  <si>
    <t>766_</t>
  </si>
  <si>
    <t>90_</t>
  </si>
  <si>
    <t>91_</t>
  </si>
  <si>
    <t>94_</t>
  </si>
  <si>
    <t>95_</t>
  </si>
  <si>
    <t>97_</t>
  </si>
  <si>
    <t>H99_</t>
  </si>
  <si>
    <t>M21_</t>
  </si>
  <si>
    <t>M22_</t>
  </si>
  <si>
    <t>S_</t>
  </si>
  <si>
    <t>12_</t>
  </si>
  <si>
    <t>21_</t>
  </si>
  <si>
    <t>31_</t>
  </si>
  <si>
    <t>38_</t>
  </si>
  <si>
    <t>56_</t>
  </si>
  <si>
    <t>721_</t>
  </si>
  <si>
    <t>767_</t>
  </si>
  <si>
    <t>783_</t>
  </si>
  <si>
    <t>M_</t>
  </si>
  <si>
    <t>H01_</t>
  </si>
  <si>
    <t>M43_</t>
  </si>
  <si>
    <t>SO 01B_1_</t>
  </si>
  <si>
    <t>SO 01B_4_</t>
  </si>
  <si>
    <t>SO 01B_5_</t>
  </si>
  <si>
    <t>SO 01B_6_</t>
  </si>
  <si>
    <t>SO 01B_71_</t>
  </si>
  <si>
    <t>SO 01B_72_</t>
  </si>
  <si>
    <t>SO 01B_76_</t>
  </si>
  <si>
    <t>SO 01B_9_</t>
  </si>
  <si>
    <t>SO 01C_1_</t>
  </si>
  <si>
    <t>SO 01C_2_</t>
  </si>
  <si>
    <t>SO 01C_3_</t>
  </si>
  <si>
    <t>SO 01C_4_</t>
  </si>
  <si>
    <t>SO 01C_5_</t>
  </si>
  <si>
    <t>SO 01C_6_</t>
  </si>
  <si>
    <t>SO 01C_71_</t>
  </si>
  <si>
    <t>SO 01C_72_</t>
  </si>
  <si>
    <t>SO 01C_76_</t>
  </si>
  <si>
    <t>SO 01C_78_</t>
  </si>
  <si>
    <t>SO 01C_9_</t>
  </si>
  <si>
    <t>VORN_9_</t>
  </si>
  <si>
    <t>ZS_1_</t>
  </si>
  <si>
    <t>ZS_9_</t>
  </si>
  <si>
    <t>SO 01B_</t>
  </si>
  <si>
    <t>SO 01C_</t>
  </si>
  <si>
    <t>VORN_</t>
  </si>
  <si>
    <t>ZS_</t>
  </si>
  <si>
    <t>MAT</t>
  </si>
  <si>
    <t>WORK</t>
  </si>
  <si>
    <t>CELK</t>
  </si>
  <si>
    <t>Objekt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</si>
  <si>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</si>
  <si>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</si>
  <si>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</si>
  <si>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</si>
  <si>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</si>
  <si>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</si>
  <si>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</si>
  <si>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</si>
  <si>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</si>
  <si>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</si>
  <si>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</si>
  <si>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</si>
  <si>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</si>
  <si>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</si>
  <si>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</si>
  <si>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</si>
  <si>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</si>
  <si>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</si>
  <si>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</si>
  <si>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</si>
  <si>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</si>
  <si>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</si>
  <si>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</si>
  <si>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</si>
  <si>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</si>
  <si>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</si>
  <si>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</si>
  <si>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</si>
  <si>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</si>
  <si>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</si>
  <si>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</si>
  <si>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</si>
  <si>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</si>
  <si>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</si>
  <si>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</si>
  <si>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</si>
  <si>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</si>
  <si>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</si>
  <si>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</si>
  <si>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</si>
  <si>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</si>
  <si>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</si>
  <si>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</si>
  <si>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</si>
  <si>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</si>
  <si>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</si>
  <si>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</si>
  <si>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44992785/CZ44992785</t>
  </si>
  <si>
    <t>29029210/CZ29029210</t>
  </si>
  <si>
    <t>Stavební rozpočet</t>
  </si>
  <si>
    <t>Stavební rozpočet - rekapitulace</t>
  </si>
  <si>
    <t>Krycí list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</si>
</sst>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3" fillId="35" borderId="29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5" fillId="0" borderId="29" xfId="0" applyNumberFormat="1" applyFont="1" applyFill="1" applyBorder="1" applyAlignment="1" applyProtection="1">
      <alignment horizontal="right" vertical="center"/>
      <protection/>
    </xf>
    <xf numFmtId="49" fontId="15" fillId="0" borderId="29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5" borderId="38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166" fontId="11" fillId="0" borderId="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166" fontId="11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35" borderId="37" xfId="0" applyNumberFormat="1" applyFont="1" applyFill="1" applyBorder="1" applyAlignment="1" applyProtection="1">
      <alignment horizontal="left" vertical="center"/>
      <protection/>
    </xf>
    <xf numFmtId="0" fontId="14" fillId="35" borderId="50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3" xfId="0" applyNumberFormat="1" applyFont="1" applyFill="1" applyBorder="1" applyAlignment="1" applyProtection="1">
      <alignment horizontal="left" vertical="center"/>
      <protection/>
    </xf>
    <xf numFmtId="49" fontId="15" fillId="0" borderId="54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5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86"/>
  <sheetViews>
    <sheetView tabSelected="1" zoomScalePageLayoutView="0" workbookViewId="0" topLeftCell="A1">
      <pane ySplit="11" topLeftCell="A12" activePane="bottomLeft" state="frozen"/>
      <selection pane="topLeft" activeCell="A2" sqref="A2:B3"/>
      <selection pane="bottomLeft" activeCell="A2" sqref="A2:B3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30.281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67" t="s">
        <v>1142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2.75">
      <c r="A2" s="69" t="s">
        <v>0</v>
      </c>
      <c r="B2" s="70"/>
      <c r="C2" s="73" t="s">
        <v>526</v>
      </c>
      <c r="D2" s="75" t="s">
        <v>978</v>
      </c>
      <c r="E2" s="70"/>
      <c r="F2" s="75"/>
      <c r="G2" s="70"/>
      <c r="H2" s="76" t="s">
        <v>996</v>
      </c>
      <c r="I2" s="76" t="s">
        <v>1002</v>
      </c>
      <c r="J2" s="70"/>
      <c r="K2" s="70"/>
      <c r="L2" s="77"/>
      <c r="M2" s="32"/>
    </row>
    <row r="3" spans="1:13" ht="12.75">
      <c r="A3" s="71"/>
      <c r="B3" s="72"/>
      <c r="C3" s="74"/>
      <c r="D3" s="72"/>
      <c r="E3" s="72"/>
      <c r="F3" s="72"/>
      <c r="G3" s="72"/>
      <c r="H3" s="72"/>
      <c r="I3" s="72"/>
      <c r="J3" s="72"/>
      <c r="K3" s="72"/>
      <c r="L3" s="78"/>
      <c r="M3" s="32"/>
    </row>
    <row r="4" spans="1:13" ht="12.75">
      <c r="A4" s="79" t="s">
        <v>1</v>
      </c>
      <c r="B4" s="72"/>
      <c r="C4" s="80" t="s">
        <v>527</v>
      </c>
      <c r="D4" s="81" t="s">
        <v>979</v>
      </c>
      <c r="E4" s="72"/>
      <c r="F4" s="81" t="s">
        <v>982</v>
      </c>
      <c r="G4" s="72"/>
      <c r="H4" s="80" t="s">
        <v>997</v>
      </c>
      <c r="I4" s="80" t="s">
        <v>1003</v>
      </c>
      <c r="J4" s="72"/>
      <c r="K4" s="72"/>
      <c r="L4" s="78"/>
      <c r="M4" s="32"/>
    </row>
    <row r="5" spans="1:13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8"/>
      <c r="M5" s="32"/>
    </row>
    <row r="6" spans="1:13" ht="12.75">
      <c r="A6" s="79" t="s">
        <v>2</v>
      </c>
      <c r="B6" s="72"/>
      <c r="C6" s="80" t="s">
        <v>528</v>
      </c>
      <c r="D6" s="81" t="s">
        <v>980</v>
      </c>
      <c r="E6" s="72"/>
      <c r="F6" s="81"/>
      <c r="G6" s="72"/>
      <c r="H6" s="80" t="s">
        <v>998</v>
      </c>
      <c r="I6" s="82"/>
      <c r="J6" s="72"/>
      <c r="K6" s="72"/>
      <c r="L6" s="78"/>
      <c r="M6" s="32"/>
    </row>
    <row r="7" spans="1:13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8"/>
      <c r="M7" s="32"/>
    </row>
    <row r="8" spans="1:13" ht="12.75">
      <c r="A8" s="79" t="s">
        <v>3</v>
      </c>
      <c r="B8" s="72"/>
      <c r="C8" s="80">
        <v>8013212</v>
      </c>
      <c r="D8" s="81" t="s">
        <v>981</v>
      </c>
      <c r="E8" s="72"/>
      <c r="F8" s="81"/>
      <c r="G8" s="72"/>
      <c r="H8" s="80" t="s">
        <v>999</v>
      </c>
      <c r="I8" s="82"/>
      <c r="J8" s="72"/>
      <c r="K8" s="72"/>
      <c r="L8" s="78"/>
      <c r="M8" s="32"/>
    </row>
    <row r="9" spans="1:13" ht="12.7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32"/>
    </row>
    <row r="10" spans="1:13" ht="12.75">
      <c r="A10" s="1" t="s">
        <v>4</v>
      </c>
      <c r="B10" s="11" t="s">
        <v>322</v>
      </c>
      <c r="C10" s="86" t="s">
        <v>529</v>
      </c>
      <c r="D10" s="87"/>
      <c r="E10" s="88"/>
      <c r="F10" s="11" t="s">
        <v>983</v>
      </c>
      <c r="G10" s="17" t="s">
        <v>995</v>
      </c>
      <c r="H10" s="20" t="s">
        <v>1000</v>
      </c>
      <c r="I10" s="89" t="s">
        <v>1004</v>
      </c>
      <c r="J10" s="90"/>
      <c r="K10" s="91"/>
      <c r="L10" s="25" t="s">
        <v>1009</v>
      </c>
      <c r="M10" s="33"/>
    </row>
    <row r="11" spans="1:62" ht="12.75">
      <c r="A11" s="2" t="s">
        <v>5</v>
      </c>
      <c r="B11" s="12" t="s">
        <v>5</v>
      </c>
      <c r="C11" s="92" t="s">
        <v>530</v>
      </c>
      <c r="D11" s="93"/>
      <c r="E11" s="94"/>
      <c r="F11" s="12" t="s">
        <v>5</v>
      </c>
      <c r="G11" s="12" t="s">
        <v>5</v>
      </c>
      <c r="H11" s="21" t="s">
        <v>1001</v>
      </c>
      <c r="I11" s="22" t="s">
        <v>1005</v>
      </c>
      <c r="J11" s="23" t="s">
        <v>1007</v>
      </c>
      <c r="K11" s="24" t="s">
        <v>1008</v>
      </c>
      <c r="L11" s="26" t="s">
        <v>1010</v>
      </c>
      <c r="M11" s="33"/>
      <c r="Z11" s="28" t="s">
        <v>1011</v>
      </c>
      <c r="AA11" s="28" t="s">
        <v>1012</v>
      </c>
      <c r="AB11" s="28" t="s">
        <v>1013</v>
      </c>
      <c r="AC11" s="28" t="s">
        <v>1014</v>
      </c>
      <c r="AD11" s="28" t="s">
        <v>1015</v>
      </c>
      <c r="AE11" s="28" t="s">
        <v>1016</v>
      </c>
      <c r="AF11" s="28" t="s">
        <v>1017</v>
      </c>
      <c r="AG11" s="28" t="s">
        <v>1018</v>
      </c>
      <c r="AH11" s="28" t="s">
        <v>1019</v>
      </c>
      <c r="BH11" s="28" t="s">
        <v>1089</v>
      </c>
      <c r="BI11" s="28" t="s">
        <v>1090</v>
      </c>
      <c r="BJ11" s="28" t="s">
        <v>1091</v>
      </c>
    </row>
    <row r="12" spans="1:12" ht="12.75">
      <c r="A12" s="3"/>
      <c r="B12" s="13"/>
      <c r="C12" s="95" t="s">
        <v>531</v>
      </c>
      <c r="D12" s="96"/>
      <c r="E12" s="96"/>
      <c r="F12" s="3" t="s">
        <v>5</v>
      </c>
      <c r="G12" s="3" t="s">
        <v>5</v>
      </c>
      <c r="H12" s="3" t="s">
        <v>5</v>
      </c>
      <c r="I12" s="36">
        <f>I13+I16+I20+I31+I36+I41+I44+I47+I54+I69+I72+I115+I122+I136+I151+I161+I172+I194+I221+I228+I231+I234+I249+I258+I263+I266+I297+I304</f>
        <v>0</v>
      </c>
      <c r="J12" s="36">
        <f>J13+J16+J20+J31+J36+J41+J44+J47+J54+J69+J72+J115+J122+J136+J151+J161+J172+J194+J221+J228+J231+J234+J249+J258+J263+J266+J297+J304</f>
        <v>0</v>
      </c>
      <c r="K12" s="36">
        <f>K13+K16+K20+K31+K36+K41+K44+K47+K54+K69+K72+K115+K122+K136+K151+K161+K172+K194+K221+K228+K231+K234+K249+K258+K263+K266+K297+K304</f>
        <v>0</v>
      </c>
      <c r="L12" s="27"/>
    </row>
    <row r="13" spans="1:47" ht="12.75">
      <c r="A13" s="4"/>
      <c r="B13" s="14" t="s">
        <v>16</v>
      </c>
      <c r="C13" s="97" t="s">
        <v>532</v>
      </c>
      <c r="D13" s="98"/>
      <c r="E13" s="98"/>
      <c r="F13" s="4" t="s">
        <v>5</v>
      </c>
      <c r="G13" s="4" t="s">
        <v>5</v>
      </c>
      <c r="H13" s="4" t="s">
        <v>5</v>
      </c>
      <c r="I13" s="37">
        <f>SUM(I14:I14)</f>
        <v>0</v>
      </c>
      <c r="J13" s="37">
        <f>SUM(J14:J14)</f>
        <v>0</v>
      </c>
      <c r="K13" s="37">
        <f>SUM(K14:K14)</f>
        <v>0</v>
      </c>
      <c r="L13" s="28"/>
      <c r="AI13" s="28" t="s">
        <v>1020</v>
      </c>
      <c r="AS13" s="37">
        <f>SUM(AJ14:AJ14)</f>
        <v>0</v>
      </c>
      <c r="AT13" s="37">
        <f>SUM(AK14:AK14)</f>
        <v>0</v>
      </c>
      <c r="AU13" s="37">
        <f>SUM(AL14:AL14)</f>
        <v>0</v>
      </c>
    </row>
    <row r="14" spans="1:62" ht="12.75">
      <c r="A14" s="5" t="s">
        <v>6</v>
      </c>
      <c r="B14" s="5" t="s">
        <v>323</v>
      </c>
      <c r="C14" s="99" t="s">
        <v>533</v>
      </c>
      <c r="D14" s="100"/>
      <c r="E14" s="100"/>
      <c r="F14" s="5" t="s">
        <v>984</v>
      </c>
      <c r="G14" s="63">
        <v>17.8</v>
      </c>
      <c r="H14" s="18">
        <v>0</v>
      </c>
      <c r="I14" s="18">
        <f>G14*AO14</f>
        <v>0</v>
      </c>
      <c r="J14" s="18">
        <f>G14*AP14</f>
        <v>0</v>
      </c>
      <c r="K14" s="18">
        <f>G14*H14</f>
        <v>0</v>
      </c>
      <c r="L14" s="29"/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28" t="s">
        <v>1020</v>
      </c>
      <c r="AJ14" s="18">
        <f>IF(AN14=0,K14,0)</f>
        <v>0</v>
      </c>
      <c r="AK14" s="18">
        <f>IF(AN14=15,K14,0)</f>
        <v>0</v>
      </c>
      <c r="AL14" s="18">
        <f>IF(AN14=21,K14,0)</f>
        <v>0</v>
      </c>
      <c r="AN14" s="34">
        <v>21</v>
      </c>
      <c r="AO14" s="34">
        <f>H14*0</f>
        <v>0</v>
      </c>
      <c r="AP14" s="34">
        <f>H14*(1-0)</f>
        <v>0</v>
      </c>
      <c r="AQ14" s="29" t="s">
        <v>6</v>
      </c>
      <c r="AV14" s="34">
        <f>AW14+AX14</f>
        <v>0</v>
      </c>
      <c r="AW14" s="34">
        <f>G14*AO14</f>
        <v>0</v>
      </c>
      <c r="AX14" s="34">
        <f>G14*AP14</f>
        <v>0</v>
      </c>
      <c r="AY14" s="35" t="s">
        <v>1024</v>
      </c>
      <c r="AZ14" s="35" t="s">
        <v>1063</v>
      </c>
      <c r="BA14" s="28" t="s">
        <v>1085</v>
      </c>
      <c r="BC14" s="34">
        <f>AW14+AX14</f>
        <v>0</v>
      </c>
      <c r="BD14" s="34">
        <f>H14/(100-BE14)*100</f>
        <v>0</v>
      </c>
      <c r="BE14" s="34">
        <v>0</v>
      </c>
      <c r="BF14" s="34">
        <f>14</f>
        <v>14</v>
      </c>
      <c r="BH14" s="18">
        <f>G14*AO14</f>
        <v>0</v>
      </c>
      <c r="BI14" s="18">
        <f>G14*AP14</f>
        <v>0</v>
      </c>
      <c r="BJ14" s="18">
        <f>G14*H14</f>
        <v>0</v>
      </c>
    </row>
    <row r="15" spans="3:7" ht="12.75">
      <c r="C15" s="101" t="s">
        <v>534</v>
      </c>
      <c r="D15" s="102"/>
      <c r="E15" s="102"/>
      <c r="G15" s="64">
        <v>17.8</v>
      </c>
    </row>
    <row r="16" spans="1:47" ht="12.75">
      <c r="A16" s="4"/>
      <c r="B16" s="14" t="s">
        <v>18</v>
      </c>
      <c r="C16" s="97" t="s">
        <v>535</v>
      </c>
      <c r="D16" s="98"/>
      <c r="E16" s="98"/>
      <c r="F16" s="4" t="s">
        <v>5</v>
      </c>
      <c r="G16" s="4" t="s">
        <v>5</v>
      </c>
      <c r="H16" s="4" t="s">
        <v>5</v>
      </c>
      <c r="I16" s="37">
        <f>SUM(I17:I17)</f>
        <v>0</v>
      </c>
      <c r="J16" s="37">
        <f>SUM(J17:J17)</f>
        <v>0</v>
      </c>
      <c r="K16" s="37">
        <f>SUM(K17:K17)</f>
        <v>0</v>
      </c>
      <c r="L16" s="28"/>
      <c r="AI16" s="28" t="s">
        <v>1020</v>
      </c>
      <c r="AS16" s="37">
        <f>SUM(AJ17:AJ17)</f>
        <v>0</v>
      </c>
      <c r="AT16" s="37">
        <f>SUM(AK17:AK17)</f>
        <v>0</v>
      </c>
      <c r="AU16" s="37">
        <f>SUM(AL17:AL17)</f>
        <v>0</v>
      </c>
    </row>
    <row r="17" spans="1:62" ht="12.75">
      <c r="A17" s="5" t="s">
        <v>7</v>
      </c>
      <c r="B17" s="5" t="s">
        <v>324</v>
      </c>
      <c r="C17" s="99" t="s">
        <v>536</v>
      </c>
      <c r="D17" s="100"/>
      <c r="E17" s="100"/>
      <c r="F17" s="5" t="s">
        <v>985</v>
      </c>
      <c r="G17" s="63">
        <v>25.395</v>
      </c>
      <c r="H17" s="18">
        <v>0</v>
      </c>
      <c r="I17" s="18">
        <f>G17*AO17</f>
        <v>0</v>
      </c>
      <c r="J17" s="18">
        <f>G17*AP17</f>
        <v>0</v>
      </c>
      <c r="K17" s="18">
        <f>G17*H17</f>
        <v>0</v>
      </c>
      <c r="L17" s="29"/>
      <c r="Z17" s="34">
        <f>IF(AQ17="5",BJ17,0)</f>
        <v>0</v>
      </c>
      <c r="AB17" s="34">
        <f>IF(AQ17="1",BH17,0)</f>
        <v>0</v>
      </c>
      <c r="AC17" s="34">
        <f>IF(AQ17="1",BI17,0)</f>
        <v>0</v>
      </c>
      <c r="AD17" s="34">
        <f>IF(AQ17="7",BH17,0)</f>
        <v>0</v>
      </c>
      <c r="AE17" s="34">
        <f>IF(AQ17="7",BI17,0)</f>
        <v>0</v>
      </c>
      <c r="AF17" s="34">
        <f>IF(AQ17="2",BH17,0)</f>
        <v>0</v>
      </c>
      <c r="AG17" s="34">
        <f>IF(AQ17="2",BI17,0)</f>
        <v>0</v>
      </c>
      <c r="AH17" s="34">
        <f>IF(AQ17="0",BJ17,0)</f>
        <v>0</v>
      </c>
      <c r="AI17" s="28" t="s">
        <v>1020</v>
      </c>
      <c r="AJ17" s="18">
        <f>IF(AN17=0,K17,0)</f>
        <v>0</v>
      </c>
      <c r="AK17" s="18">
        <f>IF(AN17=15,K17,0)</f>
        <v>0</v>
      </c>
      <c r="AL17" s="18">
        <f>IF(AN17=21,K17,0)</f>
        <v>0</v>
      </c>
      <c r="AN17" s="34">
        <v>21</v>
      </c>
      <c r="AO17" s="34">
        <f>H17*0</f>
        <v>0</v>
      </c>
      <c r="AP17" s="34">
        <f>H17*(1-0)</f>
        <v>0</v>
      </c>
      <c r="AQ17" s="29" t="s">
        <v>6</v>
      </c>
      <c r="AV17" s="34">
        <f>AW17+AX17</f>
        <v>0</v>
      </c>
      <c r="AW17" s="34">
        <f>G17*AO17</f>
        <v>0</v>
      </c>
      <c r="AX17" s="34">
        <f>G17*AP17</f>
        <v>0</v>
      </c>
      <c r="AY17" s="35" t="s">
        <v>1025</v>
      </c>
      <c r="AZ17" s="35" t="s">
        <v>1063</v>
      </c>
      <c r="BA17" s="28" t="s">
        <v>1085</v>
      </c>
      <c r="BC17" s="34">
        <f>AW17+AX17</f>
        <v>0</v>
      </c>
      <c r="BD17" s="34">
        <f>H17/(100-BE17)*100</f>
        <v>0</v>
      </c>
      <c r="BE17" s="34">
        <v>0</v>
      </c>
      <c r="BF17" s="34">
        <f>17</f>
        <v>17</v>
      </c>
      <c r="BH17" s="18">
        <f>G17*AO17</f>
        <v>0</v>
      </c>
      <c r="BI17" s="18">
        <f>G17*AP17</f>
        <v>0</v>
      </c>
      <c r="BJ17" s="18">
        <f>G17*H17</f>
        <v>0</v>
      </c>
    </row>
    <row r="18" spans="3:7" ht="12.75">
      <c r="C18" s="101" t="s">
        <v>537</v>
      </c>
      <c r="D18" s="102"/>
      <c r="E18" s="102"/>
      <c r="G18" s="64">
        <v>22.5</v>
      </c>
    </row>
    <row r="19" spans="3:7" ht="12.75">
      <c r="C19" s="101" t="s">
        <v>538</v>
      </c>
      <c r="D19" s="102"/>
      <c r="E19" s="102"/>
      <c r="G19" s="64">
        <v>2.895</v>
      </c>
    </row>
    <row r="20" spans="1:47" ht="12.75">
      <c r="A20" s="4"/>
      <c r="B20" s="14" t="s">
        <v>21</v>
      </c>
      <c r="C20" s="97" t="s">
        <v>539</v>
      </c>
      <c r="D20" s="98"/>
      <c r="E20" s="98"/>
      <c r="F20" s="4" t="s">
        <v>5</v>
      </c>
      <c r="G20" s="4" t="s">
        <v>5</v>
      </c>
      <c r="H20" s="4" t="s">
        <v>5</v>
      </c>
      <c r="I20" s="37">
        <f>SUM(I21:I29)</f>
        <v>0</v>
      </c>
      <c r="J20" s="37">
        <f>SUM(J21:J29)</f>
        <v>0</v>
      </c>
      <c r="K20" s="37">
        <f>SUM(K21:K29)</f>
        <v>0</v>
      </c>
      <c r="L20" s="28"/>
      <c r="AI20" s="28" t="s">
        <v>1020</v>
      </c>
      <c r="AS20" s="37">
        <f>SUM(AJ21:AJ29)</f>
        <v>0</v>
      </c>
      <c r="AT20" s="37">
        <f>SUM(AK21:AK29)</f>
        <v>0</v>
      </c>
      <c r="AU20" s="37">
        <f>SUM(AL21:AL29)</f>
        <v>0</v>
      </c>
    </row>
    <row r="21" spans="1:62" ht="12.75">
      <c r="A21" s="5" t="s">
        <v>8</v>
      </c>
      <c r="B21" s="5" t="s">
        <v>325</v>
      </c>
      <c r="C21" s="99" t="s">
        <v>540</v>
      </c>
      <c r="D21" s="100"/>
      <c r="E21" s="100"/>
      <c r="F21" s="5" t="s">
        <v>985</v>
      </c>
      <c r="G21" s="63">
        <v>2.895</v>
      </c>
      <c r="H21" s="18">
        <v>0</v>
      </c>
      <c r="I21" s="18">
        <f>G21*AO21</f>
        <v>0</v>
      </c>
      <c r="J21" s="18">
        <f>G21*AP21</f>
        <v>0</v>
      </c>
      <c r="K21" s="18">
        <f>G21*H21</f>
        <v>0</v>
      </c>
      <c r="L21" s="29"/>
      <c r="Z21" s="34">
        <f>IF(AQ21="5",BJ21,0)</f>
        <v>0</v>
      </c>
      <c r="AB21" s="34">
        <f>IF(AQ21="1",BH21,0)</f>
        <v>0</v>
      </c>
      <c r="AC21" s="34">
        <f>IF(AQ21="1",BI21,0)</f>
        <v>0</v>
      </c>
      <c r="AD21" s="34">
        <f>IF(AQ21="7",BH21,0)</f>
        <v>0</v>
      </c>
      <c r="AE21" s="34">
        <f>IF(AQ21="7",BI21,0)</f>
        <v>0</v>
      </c>
      <c r="AF21" s="34">
        <f>IF(AQ21="2",BH21,0)</f>
        <v>0</v>
      </c>
      <c r="AG21" s="34">
        <f>IF(AQ21="2",BI21,0)</f>
        <v>0</v>
      </c>
      <c r="AH21" s="34">
        <f>IF(AQ21="0",BJ21,0)</f>
        <v>0</v>
      </c>
      <c r="AI21" s="28" t="s">
        <v>1020</v>
      </c>
      <c r="AJ21" s="18">
        <f>IF(AN21=0,K21,0)</f>
        <v>0</v>
      </c>
      <c r="AK21" s="18">
        <f>IF(AN21=15,K21,0)</f>
        <v>0</v>
      </c>
      <c r="AL21" s="18">
        <f>IF(AN21=21,K21,0)</f>
        <v>0</v>
      </c>
      <c r="AN21" s="34">
        <v>21</v>
      </c>
      <c r="AO21" s="34">
        <f>H21*0</f>
        <v>0</v>
      </c>
      <c r="AP21" s="34">
        <f>H21*(1-0)</f>
        <v>0</v>
      </c>
      <c r="AQ21" s="29" t="s">
        <v>6</v>
      </c>
      <c r="AV21" s="34">
        <f>AW21+AX21</f>
        <v>0</v>
      </c>
      <c r="AW21" s="34">
        <f>G21*AO21</f>
        <v>0</v>
      </c>
      <c r="AX21" s="34">
        <f>G21*AP21</f>
        <v>0</v>
      </c>
      <c r="AY21" s="35" t="s">
        <v>1026</v>
      </c>
      <c r="AZ21" s="35" t="s">
        <v>1063</v>
      </c>
      <c r="BA21" s="28" t="s">
        <v>1085</v>
      </c>
      <c r="BC21" s="34">
        <f>AW21+AX21</f>
        <v>0</v>
      </c>
      <c r="BD21" s="34">
        <f>H21/(100-BE21)*100</f>
        <v>0</v>
      </c>
      <c r="BE21" s="34">
        <v>0</v>
      </c>
      <c r="BF21" s="34">
        <f>21</f>
        <v>21</v>
      </c>
      <c r="BH21" s="18">
        <f>G21*AO21</f>
        <v>0</v>
      </c>
      <c r="BI21" s="18">
        <f>G21*AP21</f>
        <v>0</v>
      </c>
      <c r="BJ21" s="18">
        <f>G21*H21</f>
        <v>0</v>
      </c>
    </row>
    <row r="22" spans="3:7" ht="12.75">
      <c r="C22" s="101" t="s">
        <v>538</v>
      </c>
      <c r="D22" s="102"/>
      <c r="E22" s="102"/>
      <c r="G22" s="64">
        <v>2.895</v>
      </c>
    </row>
    <row r="23" spans="1:62" ht="12.75">
      <c r="A23" s="5" t="s">
        <v>9</v>
      </c>
      <c r="B23" s="5" t="s">
        <v>326</v>
      </c>
      <c r="C23" s="99" t="s">
        <v>541</v>
      </c>
      <c r="D23" s="100"/>
      <c r="E23" s="100"/>
      <c r="F23" s="5" t="s">
        <v>985</v>
      </c>
      <c r="G23" s="63">
        <v>2.895</v>
      </c>
      <c r="H23" s="18">
        <v>0</v>
      </c>
      <c r="I23" s="18">
        <f>G23*AO23</f>
        <v>0</v>
      </c>
      <c r="J23" s="18">
        <f>G23*AP23</f>
        <v>0</v>
      </c>
      <c r="K23" s="18">
        <f>G23*H23</f>
        <v>0</v>
      </c>
      <c r="L23" s="29"/>
      <c r="Z23" s="34">
        <f>IF(AQ23="5",BJ23,0)</f>
        <v>0</v>
      </c>
      <c r="AB23" s="34">
        <f>IF(AQ23="1",BH23,0)</f>
        <v>0</v>
      </c>
      <c r="AC23" s="34">
        <f>IF(AQ23="1",BI23,0)</f>
        <v>0</v>
      </c>
      <c r="AD23" s="34">
        <f>IF(AQ23="7",BH23,0)</f>
        <v>0</v>
      </c>
      <c r="AE23" s="34">
        <f>IF(AQ23="7",BI23,0)</f>
        <v>0</v>
      </c>
      <c r="AF23" s="34">
        <f>IF(AQ23="2",BH23,0)</f>
        <v>0</v>
      </c>
      <c r="AG23" s="34">
        <f>IF(AQ23="2",BI23,0)</f>
        <v>0</v>
      </c>
      <c r="AH23" s="34">
        <f>IF(AQ23="0",BJ23,0)</f>
        <v>0</v>
      </c>
      <c r="AI23" s="28" t="s">
        <v>1020</v>
      </c>
      <c r="AJ23" s="18">
        <f>IF(AN23=0,K23,0)</f>
        <v>0</v>
      </c>
      <c r="AK23" s="18">
        <f>IF(AN23=15,K23,0)</f>
        <v>0</v>
      </c>
      <c r="AL23" s="18">
        <f>IF(AN23=21,K23,0)</f>
        <v>0</v>
      </c>
      <c r="AN23" s="34">
        <v>21</v>
      </c>
      <c r="AO23" s="34">
        <f>H23*0</f>
        <v>0</v>
      </c>
      <c r="AP23" s="34">
        <f>H23*(1-0)</f>
        <v>0</v>
      </c>
      <c r="AQ23" s="29" t="s">
        <v>6</v>
      </c>
      <c r="AV23" s="34">
        <f>AW23+AX23</f>
        <v>0</v>
      </c>
      <c r="AW23" s="34">
        <f>G23*AO23</f>
        <v>0</v>
      </c>
      <c r="AX23" s="34">
        <f>G23*AP23</f>
        <v>0</v>
      </c>
      <c r="AY23" s="35" t="s">
        <v>1026</v>
      </c>
      <c r="AZ23" s="35" t="s">
        <v>1063</v>
      </c>
      <c r="BA23" s="28" t="s">
        <v>1085</v>
      </c>
      <c r="BC23" s="34">
        <f>AW23+AX23</f>
        <v>0</v>
      </c>
      <c r="BD23" s="34">
        <f>H23/(100-BE23)*100</f>
        <v>0</v>
      </c>
      <c r="BE23" s="34">
        <v>0</v>
      </c>
      <c r="BF23" s="34">
        <f>23</f>
        <v>23</v>
      </c>
      <c r="BH23" s="18">
        <f>G23*AO23</f>
        <v>0</v>
      </c>
      <c r="BI23" s="18">
        <f>G23*AP23</f>
        <v>0</v>
      </c>
      <c r="BJ23" s="18">
        <f>G23*H23</f>
        <v>0</v>
      </c>
    </row>
    <row r="24" spans="3:7" ht="12.75">
      <c r="C24" s="101" t="s">
        <v>538</v>
      </c>
      <c r="D24" s="102"/>
      <c r="E24" s="102"/>
      <c r="G24" s="64">
        <v>2.895</v>
      </c>
    </row>
    <row r="25" spans="1:62" ht="12.75">
      <c r="A25" s="5" t="s">
        <v>10</v>
      </c>
      <c r="B25" s="5" t="s">
        <v>327</v>
      </c>
      <c r="C25" s="99" t="s">
        <v>542</v>
      </c>
      <c r="D25" s="100"/>
      <c r="E25" s="100"/>
      <c r="F25" s="5" t="s">
        <v>985</v>
      </c>
      <c r="G25" s="63">
        <v>2.895</v>
      </c>
      <c r="H25" s="18">
        <v>0</v>
      </c>
      <c r="I25" s="18">
        <f>G25*AO25</f>
        <v>0</v>
      </c>
      <c r="J25" s="18">
        <f>G25*AP25</f>
        <v>0</v>
      </c>
      <c r="K25" s="18">
        <f>G25*H25</f>
        <v>0</v>
      </c>
      <c r="L25" s="29"/>
      <c r="Z25" s="34">
        <f>IF(AQ25="5",BJ25,0)</f>
        <v>0</v>
      </c>
      <c r="AB25" s="34">
        <f>IF(AQ25="1",BH25,0)</f>
        <v>0</v>
      </c>
      <c r="AC25" s="34">
        <f>IF(AQ25="1",BI25,0)</f>
        <v>0</v>
      </c>
      <c r="AD25" s="34">
        <f>IF(AQ25="7",BH25,0)</f>
        <v>0</v>
      </c>
      <c r="AE25" s="34">
        <f>IF(AQ25="7",BI25,0)</f>
        <v>0</v>
      </c>
      <c r="AF25" s="34">
        <f>IF(AQ25="2",BH25,0)</f>
        <v>0</v>
      </c>
      <c r="AG25" s="34">
        <f>IF(AQ25="2",BI25,0)</f>
        <v>0</v>
      </c>
      <c r="AH25" s="34">
        <f>IF(AQ25="0",BJ25,0)</f>
        <v>0</v>
      </c>
      <c r="AI25" s="28" t="s">
        <v>1020</v>
      </c>
      <c r="AJ25" s="18">
        <f>IF(AN25=0,K25,0)</f>
        <v>0</v>
      </c>
      <c r="AK25" s="18">
        <f>IF(AN25=15,K25,0)</f>
        <v>0</v>
      </c>
      <c r="AL25" s="18">
        <f>IF(AN25=21,K25,0)</f>
        <v>0</v>
      </c>
      <c r="AN25" s="34">
        <v>21</v>
      </c>
      <c r="AO25" s="34">
        <f>H25*0</f>
        <v>0</v>
      </c>
      <c r="AP25" s="34">
        <f>H25*(1-0)</f>
        <v>0</v>
      </c>
      <c r="AQ25" s="29" t="s">
        <v>6</v>
      </c>
      <c r="AV25" s="34">
        <f>AW25+AX25</f>
        <v>0</v>
      </c>
      <c r="AW25" s="34">
        <f>G25*AO25</f>
        <v>0</v>
      </c>
      <c r="AX25" s="34">
        <f>G25*AP25</f>
        <v>0</v>
      </c>
      <c r="AY25" s="35" t="s">
        <v>1026</v>
      </c>
      <c r="AZ25" s="35" t="s">
        <v>1063</v>
      </c>
      <c r="BA25" s="28" t="s">
        <v>1085</v>
      </c>
      <c r="BC25" s="34">
        <f>AW25+AX25</f>
        <v>0</v>
      </c>
      <c r="BD25" s="34">
        <f>H25/(100-BE25)*100</f>
        <v>0</v>
      </c>
      <c r="BE25" s="34">
        <v>0</v>
      </c>
      <c r="BF25" s="34">
        <f>25</f>
        <v>25</v>
      </c>
      <c r="BH25" s="18">
        <f>G25*AO25</f>
        <v>0</v>
      </c>
      <c r="BI25" s="18">
        <f>G25*AP25</f>
        <v>0</v>
      </c>
      <c r="BJ25" s="18">
        <f>G25*H25</f>
        <v>0</v>
      </c>
    </row>
    <row r="26" spans="3:7" ht="12.75">
      <c r="C26" s="101" t="s">
        <v>538</v>
      </c>
      <c r="D26" s="102"/>
      <c r="E26" s="102"/>
      <c r="G26" s="64">
        <v>2.895</v>
      </c>
    </row>
    <row r="27" spans="1:62" ht="12.75">
      <c r="A27" s="5" t="s">
        <v>11</v>
      </c>
      <c r="B27" s="5" t="s">
        <v>328</v>
      </c>
      <c r="C27" s="99" t="s">
        <v>543</v>
      </c>
      <c r="D27" s="100"/>
      <c r="E27" s="100"/>
      <c r="F27" s="5" t="s">
        <v>985</v>
      </c>
      <c r="G27" s="63">
        <v>28.95</v>
      </c>
      <c r="H27" s="18">
        <v>0</v>
      </c>
      <c r="I27" s="18">
        <f>G27*AO27</f>
        <v>0</v>
      </c>
      <c r="J27" s="18">
        <f>G27*AP27</f>
        <v>0</v>
      </c>
      <c r="K27" s="18">
        <f>G27*H27</f>
        <v>0</v>
      </c>
      <c r="L27" s="29"/>
      <c r="Z27" s="34">
        <f>IF(AQ27="5",BJ27,0)</f>
        <v>0</v>
      </c>
      <c r="AB27" s="34">
        <f>IF(AQ27="1",BH27,0)</f>
        <v>0</v>
      </c>
      <c r="AC27" s="34">
        <f>IF(AQ27="1",BI27,0)</f>
        <v>0</v>
      </c>
      <c r="AD27" s="34">
        <f>IF(AQ27="7",BH27,0)</f>
        <v>0</v>
      </c>
      <c r="AE27" s="34">
        <f>IF(AQ27="7",BI27,0)</f>
        <v>0</v>
      </c>
      <c r="AF27" s="34">
        <f>IF(AQ27="2",BH27,0)</f>
        <v>0</v>
      </c>
      <c r="AG27" s="34">
        <f>IF(AQ27="2",BI27,0)</f>
        <v>0</v>
      </c>
      <c r="AH27" s="34">
        <f>IF(AQ27="0",BJ27,0)</f>
        <v>0</v>
      </c>
      <c r="AI27" s="28" t="s">
        <v>1020</v>
      </c>
      <c r="AJ27" s="18">
        <f>IF(AN27=0,K27,0)</f>
        <v>0</v>
      </c>
      <c r="AK27" s="18">
        <f>IF(AN27=15,K27,0)</f>
        <v>0</v>
      </c>
      <c r="AL27" s="18">
        <f>IF(AN27=21,K27,0)</f>
        <v>0</v>
      </c>
      <c r="AN27" s="34">
        <v>21</v>
      </c>
      <c r="AO27" s="34">
        <f>H27*0</f>
        <v>0</v>
      </c>
      <c r="AP27" s="34">
        <f>H27*(1-0)</f>
        <v>0</v>
      </c>
      <c r="AQ27" s="29" t="s">
        <v>6</v>
      </c>
      <c r="AV27" s="34">
        <f>AW27+AX27</f>
        <v>0</v>
      </c>
      <c r="AW27" s="34">
        <f>G27*AO27</f>
        <v>0</v>
      </c>
      <c r="AX27" s="34">
        <f>G27*AP27</f>
        <v>0</v>
      </c>
      <c r="AY27" s="35" t="s">
        <v>1026</v>
      </c>
      <c r="AZ27" s="35" t="s">
        <v>1063</v>
      </c>
      <c r="BA27" s="28" t="s">
        <v>1085</v>
      </c>
      <c r="BC27" s="34">
        <f>AW27+AX27</f>
        <v>0</v>
      </c>
      <c r="BD27" s="34">
        <f>H27/(100-BE27)*100</f>
        <v>0</v>
      </c>
      <c r="BE27" s="34">
        <v>0</v>
      </c>
      <c r="BF27" s="34">
        <f>27</f>
        <v>27</v>
      </c>
      <c r="BH27" s="18">
        <f>G27*AO27</f>
        <v>0</v>
      </c>
      <c r="BI27" s="18">
        <f>G27*AP27</f>
        <v>0</v>
      </c>
      <c r="BJ27" s="18">
        <f>G27*H27</f>
        <v>0</v>
      </c>
    </row>
    <row r="28" spans="3:7" ht="12.75">
      <c r="C28" s="101" t="s">
        <v>544</v>
      </c>
      <c r="D28" s="102"/>
      <c r="E28" s="102"/>
      <c r="G28" s="64">
        <v>28.95</v>
      </c>
    </row>
    <row r="29" spans="1:62" ht="12.75">
      <c r="A29" s="5" t="s">
        <v>12</v>
      </c>
      <c r="B29" s="5" t="s">
        <v>329</v>
      </c>
      <c r="C29" s="99" t="s">
        <v>545</v>
      </c>
      <c r="D29" s="100"/>
      <c r="E29" s="100"/>
      <c r="F29" s="5" t="s">
        <v>985</v>
      </c>
      <c r="G29" s="63">
        <v>2.895</v>
      </c>
      <c r="H29" s="18">
        <v>0</v>
      </c>
      <c r="I29" s="18">
        <f>G29*AO29</f>
        <v>0</v>
      </c>
      <c r="J29" s="18">
        <f>G29*AP29</f>
        <v>0</v>
      </c>
      <c r="K29" s="18">
        <f>G29*H29</f>
        <v>0</v>
      </c>
      <c r="L29" s="29"/>
      <c r="Z29" s="34">
        <f>IF(AQ29="5",BJ29,0)</f>
        <v>0</v>
      </c>
      <c r="AB29" s="34">
        <f>IF(AQ29="1",BH29,0)</f>
        <v>0</v>
      </c>
      <c r="AC29" s="34">
        <f>IF(AQ29="1",BI29,0)</f>
        <v>0</v>
      </c>
      <c r="AD29" s="34">
        <f>IF(AQ29="7",BH29,0)</f>
        <v>0</v>
      </c>
      <c r="AE29" s="34">
        <f>IF(AQ29="7",BI29,0)</f>
        <v>0</v>
      </c>
      <c r="AF29" s="34">
        <f>IF(AQ29="2",BH29,0)</f>
        <v>0</v>
      </c>
      <c r="AG29" s="34">
        <f>IF(AQ29="2",BI29,0)</f>
        <v>0</v>
      </c>
      <c r="AH29" s="34">
        <f>IF(AQ29="0",BJ29,0)</f>
        <v>0</v>
      </c>
      <c r="AI29" s="28" t="s">
        <v>1020</v>
      </c>
      <c r="AJ29" s="18">
        <f>IF(AN29=0,K29,0)</f>
        <v>0</v>
      </c>
      <c r="AK29" s="18">
        <f>IF(AN29=15,K29,0)</f>
        <v>0</v>
      </c>
      <c r="AL29" s="18">
        <f>IF(AN29=21,K29,0)</f>
        <v>0</v>
      </c>
      <c r="AN29" s="34">
        <v>21</v>
      </c>
      <c r="AO29" s="34">
        <f>H29*0</f>
        <v>0</v>
      </c>
      <c r="AP29" s="34">
        <f>H29*(1-0)</f>
        <v>0</v>
      </c>
      <c r="AQ29" s="29" t="s">
        <v>6</v>
      </c>
      <c r="AV29" s="34">
        <f>AW29+AX29</f>
        <v>0</v>
      </c>
      <c r="AW29" s="34">
        <f>G29*AO29</f>
        <v>0</v>
      </c>
      <c r="AX29" s="34">
        <f>G29*AP29</f>
        <v>0</v>
      </c>
      <c r="AY29" s="35" t="s">
        <v>1026</v>
      </c>
      <c r="AZ29" s="35" t="s">
        <v>1063</v>
      </c>
      <c r="BA29" s="28" t="s">
        <v>1085</v>
      </c>
      <c r="BC29" s="34">
        <f>AW29+AX29</f>
        <v>0</v>
      </c>
      <c r="BD29" s="34">
        <f>H29/(100-BE29)*100</f>
        <v>0</v>
      </c>
      <c r="BE29" s="34">
        <v>0</v>
      </c>
      <c r="BF29" s="34">
        <f>29</f>
        <v>29</v>
      </c>
      <c r="BH29" s="18">
        <f>G29*AO29</f>
        <v>0</v>
      </c>
      <c r="BI29" s="18">
        <f>G29*AP29</f>
        <v>0</v>
      </c>
      <c r="BJ29" s="18">
        <f>G29*H29</f>
        <v>0</v>
      </c>
    </row>
    <row r="30" spans="3:7" ht="12.75">
      <c r="C30" s="101" t="s">
        <v>538</v>
      </c>
      <c r="D30" s="102"/>
      <c r="E30" s="102"/>
      <c r="G30" s="64">
        <v>2.895</v>
      </c>
    </row>
    <row r="31" spans="1:47" ht="12.75">
      <c r="A31" s="4"/>
      <c r="B31" s="14" t="s">
        <v>22</v>
      </c>
      <c r="C31" s="97" t="s">
        <v>546</v>
      </c>
      <c r="D31" s="98"/>
      <c r="E31" s="98"/>
      <c r="F31" s="4" t="s">
        <v>5</v>
      </c>
      <c r="G31" s="4" t="s">
        <v>5</v>
      </c>
      <c r="H31" s="4" t="s">
        <v>5</v>
      </c>
      <c r="I31" s="37">
        <f>SUM(I32:I34)</f>
        <v>0</v>
      </c>
      <c r="J31" s="37">
        <f>SUM(J32:J34)</f>
        <v>0</v>
      </c>
      <c r="K31" s="37">
        <f>SUM(K32:K34)</f>
        <v>0</v>
      </c>
      <c r="L31" s="28"/>
      <c r="AI31" s="28" t="s">
        <v>1020</v>
      </c>
      <c r="AS31" s="37">
        <f>SUM(AJ32:AJ34)</f>
        <v>0</v>
      </c>
      <c r="AT31" s="37">
        <f>SUM(AK32:AK34)</f>
        <v>0</v>
      </c>
      <c r="AU31" s="37">
        <f>SUM(AL32:AL34)</f>
        <v>0</v>
      </c>
    </row>
    <row r="32" spans="1:62" ht="12.75">
      <c r="A32" s="5" t="s">
        <v>13</v>
      </c>
      <c r="B32" s="5" t="s">
        <v>330</v>
      </c>
      <c r="C32" s="99" t="s">
        <v>547</v>
      </c>
      <c r="D32" s="100"/>
      <c r="E32" s="100"/>
      <c r="F32" s="5" t="s">
        <v>985</v>
      </c>
      <c r="G32" s="63">
        <v>22.5</v>
      </c>
      <c r="H32" s="18">
        <v>0</v>
      </c>
      <c r="I32" s="18">
        <f>G32*AO32</f>
        <v>0</v>
      </c>
      <c r="J32" s="18">
        <f>G32*AP32</f>
        <v>0</v>
      </c>
      <c r="K32" s="18">
        <f>G32*H32</f>
        <v>0</v>
      </c>
      <c r="L32" s="29"/>
      <c r="Z32" s="34">
        <f>IF(AQ32="5",BJ32,0)</f>
        <v>0</v>
      </c>
      <c r="AB32" s="34">
        <f>IF(AQ32="1",BH32,0)</f>
        <v>0</v>
      </c>
      <c r="AC32" s="34">
        <f>IF(AQ32="1",BI32,0)</f>
        <v>0</v>
      </c>
      <c r="AD32" s="34">
        <f>IF(AQ32="7",BH32,0)</f>
        <v>0</v>
      </c>
      <c r="AE32" s="34">
        <f>IF(AQ32="7",BI32,0)</f>
        <v>0</v>
      </c>
      <c r="AF32" s="34">
        <f>IF(AQ32="2",BH32,0)</f>
        <v>0</v>
      </c>
      <c r="AG32" s="34">
        <f>IF(AQ32="2",BI32,0)</f>
        <v>0</v>
      </c>
      <c r="AH32" s="34">
        <f>IF(AQ32="0",BJ32,0)</f>
        <v>0</v>
      </c>
      <c r="AI32" s="28" t="s">
        <v>1020</v>
      </c>
      <c r="AJ32" s="18">
        <f>IF(AN32=0,K32,0)</f>
        <v>0</v>
      </c>
      <c r="AK32" s="18">
        <f>IF(AN32=15,K32,0)</f>
        <v>0</v>
      </c>
      <c r="AL32" s="18">
        <f>IF(AN32=21,K32,0)</f>
        <v>0</v>
      </c>
      <c r="AN32" s="34">
        <v>21</v>
      </c>
      <c r="AO32" s="34">
        <f>H32*0</f>
        <v>0</v>
      </c>
      <c r="AP32" s="34">
        <f>H32*(1-0)</f>
        <v>0</v>
      </c>
      <c r="AQ32" s="29" t="s">
        <v>6</v>
      </c>
      <c r="AV32" s="34">
        <f>AW32+AX32</f>
        <v>0</v>
      </c>
      <c r="AW32" s="34">
        <f>G32*AO32</f>
        <v>0</v>
      </c>
      <c r="AX32" s="34">
        <f>G32*AP32</f>
        <v>0</v>
      </c>
      <c r="AY32" s="35" t="s">
        <v>1027</v>
      </c>
      <c r="AZ32" s="35" t="s">
        <v>1063</v>
      </c>
      <c r="BA32" s="28" t="s">
        <v>1085</v>
      </c>
      <c r="BC32" s="34">
        <f>AW32+AX32</f>
        <v>0</v>
      </c>
      <c r="BD32" s="34">
        <f>H32/(100-BE32)*100</f>
        <v>0</v>
      </c>
      <c r="BE32" s="34">
        <v>0</v>
      </c>
      <c r="BF32" s="34">
        <f>32</f>
        <v>32</v>
      </c>
      <c r="BH32" s="18">
        <f>G32*AO32</f>
        <v>0</v>
      </c>
      <c r="BI32" s="18">
        <f>G32*AP32</f>
        <v>0</v>
      </c>
      <c r="BJ32" s="18">
        <f>G32*H32</f>
        <v>0</v>
      </c>
    </row>
    <row r="33" spans="3:7" ht="12.75">
      <c r="C33" s="101" t="s">
        <v>548</v>
      </c>
      <c r="D33" s="102"/>
      <c r="E33" s="102"/>
      <c r="G33" s="64">
        <v>22.5</v>
      </c>
    </row>
    <row r="34" spans="1:62" ht="12.75">
      <c r="A34" s="5" t="s">
        <v>14</v>
      </c>
      <c r="B34" s="5" t="s">
        <v>331</v>
      </c>
      <c r="C34" s="99" t="s">
        <v>549</v>
      </c>
      <c r="D34" s="100"/>
      <c r="E34" s="100"/>
      <c r="F34" s="5" t="s">
        <v>985</v>
      </c>
      <c r="G34" s="63">
        <v>2.895</v>
      </c>
      <c r="H34" s="18">
        <v>0</v>
      </c>
      <c r="I34" s="18">
        <f>G34*AO34</f>
        <v>0</v>
      </c>
      <c r="J34" s="18">
        <f>G34*AP34</f>
        <v>0</v>
      </c>
      <c r="K34" s="18">
        <f>G34*H34</f>
        <v>0</v>
      </c>
      <c r="L34" s="29"/>
      <c r="Z34" s="34">
        <f>IF(AQ34="5",BJ34,0)</f>
        <v>0</v>
      </c>
      <c r="AB34" s="34">
        <f>IF(AQ34="1",BH34,0)</f>
        <v>0</v>
      </c>
      <c r="AC34" s="34">
        <f>IF(AQ34="1",BI34,0)</f>
        <v>0</v>
      </c>
      <c r="AD34" s="34">
        <f>IF(AQ34="7",BH34,0)</f>
        <v>0</v>
      </c>
      <c r="AE34" s="34">
        <f>IF(AQ34="7",BI34,0)</f>
        <v>0</v>
      </c>
      <c r="AF34" s="34">
        <f>IF(AQ34="2",BH34,0)</f>
        <v>0</v>
      </c>
      <c r="AG34" s="34">
        <f>IF(AQ34="2",BI34,0)</f>
        <v>0</v>
      </c>
      <c r="AH34" s="34">
        <f>IF(AQ34="0",BJ34,0)</f>
        <v>0</v>
      </c>
      <c r="AI34" s="28" t="s">
        <v>1020</v>
      </c>
      <c r="AJ34" s="18">
        <f>IF(AN34=0,K34,0)</f>
        <v>0</v>
      </c>
      <c r="AK34" s="18">
        <f>IF(AN34=15,K34,0)</f>
        <v>0</v>
      </c>
      <c r="AL34" s="18">
        <f>IF(AN34=21,K34,0)</f>
        <v>0</v>
      </c>
      <c r="AN34" s="34">
        <v>21</v>
      </c>
      <c r="AO34" s="34">
        <f>H34*0</f>
        <v>0</v>
      </c>
      <c r="AP34" s="34">
        <f>H34*(1-0)</f>
        <v>0</v>
      </c>
      <c r="AQ34" s="29" t="s">
        <v>6</v>
      </c>
      <c r="AV34" s="34">
        <f>AW34+AX34</f>
        <v>0</v>
      </c>
      <c r="AW34" s="34">
        <f>G34*AO34</f>
        <v>0</v>
      </c>
      <c r="AX34" s="34">
        <f>G34*AP34</f>
        <v>0</v>
      </c>
      <c r="AY34" s="35" t="s">
        <v>1027</v>
      </c>
      <c r="AZ34" s="35" t="s">
        <v>1063</v>
      </c>
      <c r="BA34" s="28" t="s">
        <v>1085</v>
      </c>
      <c r="BC34" s="34">
        <f>AW34+AX34</f>
        <v>0</v>
      </c>
      <c r="BD34" s="34">
        <f>H34/(100-BE34)*100</f>
        <v>0</v>
      </c>
      <c r="BE34" s="34">
        <v>0</v>
      </c>
      <c r="BF34" s="34">
        <f>34</f>
        <v>34</v>
      </c>
      <c r="BH34" s="18">
        <f>G34*AO34</f>
        <v>0</v>
      </c>
      <c r="BI34" s="18">
        <f>G34*AP34</f>
        <v>0</v>
      </c>
      <c r="BJ34" s="18">
        <f>G34*H34</f>
        <v>0</v>
      </c>
    </row>
    <row r="35" spans="3:7" ht="12.75">
      <c r="C35" s="101" t="s">
        <v>538</v>
      </c>
      <c r="D35" s="102"/>
      <c r="E35" s="102"/>
      <c r="G35" s="64">
        <v>2.895</v>
      </c>
    </row>
    <row r="36" spans="1:47" ht="12.75">
      <c r="A36" s="4"/>
      <c r="B36" s="14" t="s">
        <v>23</v>
      </c>
      <c r="C36" s="97" t="s">
        <v>550</v>
      </c>
      <c r="D36" s="98"/>
      <c r="E36" s="98"/>
      <c r="F36" s="4" t="s">
        <v>5</v>
      </c>
      <c r="G36" s="4" t="s">
        <v>5</v>
      </c>
      <c r="H36" s="4" t="s">
        <v>5</v>
      </c>
      <c r="I36" s="37">
        <f>SUM(I37:I39)</f>
        <v>0</v>
      </c>
      <c r="J36" s="37">
        <f>SUM(J37:J39)</f>
        <v>0</v>
      </c>
      <c r="K36" s="37">
        <f>SUM(K37:K39)</f>
        <v>0</v>
      </c>
      <c r="L36" s="28"/>
      <c r="AI36" s="28" t="s">
        <v>1020</v>
      </c>
      <c r="AS36" s="37">
        <f>SUM(AJ37:AJ39)</f>
        <v>0</v>
      </c>
      <c r="AT36" s="37">
        <f>SUM(AK37:AK39)</f>
        <v>0</v>
      </c>
      <c r="AU36" s="37">
        <f>SUM(AL37:AL39)</f>
        <v>0</v>
      </c>
    </row>
    <row r="37" spans="1:62" ht="12.75">
      <c r="A37" s="5" t="s">
        <v>15</v>
      </c>
      <c r="B37" s="5" t="s">
        <v>332</v>
      </c>
      <c r="C37" s="99" t="s">
        <v>551</v>
      </c>
      <c r="D37" s="100"/>
      <c r="E37" s="100"/>
      <c r="F37" s="5" t="s">
        <v>984</v>
      </c>
      <c r="G37" s="63">
        <v>19.3</v>
      </c>
      <c r="H37" s="18">
        <v>0</v>
      </c>
      <c r="I37" s="18">
        <f>G37*AO37</f>
        <v>0</v>
      </c>
      <c r="J37" s="18">
        <f>G37*AP37</f>
        <v>0</v>
      </c>
      <c r="K37" s="18">
        <f>G37*H37</f>
        <v>0</v>
      </c>
      <c r="L37" s="29"/>
      <c r="Z37" s="34">
        <f>IF(AQ37="5",BJ37,0)</f>
        <v>0</v>
      </c>
      <c r="AB37" s="34">
        <f>IF(AQ37="1",BH37,0)</f>
        <v>0</v>
      </c>
      <c r="AC37" s="34">
        <f>IF(AQ37="1",BI37,0)</f>
        <v>0</v>
      </c>
      <c r="AD37" s="34">
        <f>IF(AQ37="7",BH37,0)</f>
        <v>0</v>
      </c>
      <c r="AE37" s="34">
        <f>IF(AQ37="7",BI37,0)</f>
        <v>0</v>
      </c>
      <c r="AF37" s="34">
        <f>IF(AQ37="2",BH37,0)</f>
        <v>0</v>
      </c>
      <c r="AG37" s="34">
        <f>IF(AQ37="2",BI37,0)</f>
        <v>0</v>
      </c>
      <c r="AH37" s="34">
        <f>IF(AQ37="0",BJ37,0)</f>
        <v>0</v>
      </c>
      <c r="AI37" s="28" t="s">
        <v>1020</v>
      </c>
      <c r="AJ37" s="18">
        <f>IF(AN37=0,K37,0)</f>
        <v>0</v>
      </c>
      <c r="AK37" s="18">
        <f>IF(AN37=15,K37,0)</f>
        <v>0</v>
      </c>
      <c r="AL37" s="18">
        <f>IF(AN37=21,K37,0)</f>
        <v>0</v>
      </c>
      <c r="AN37" s="34">
        <v>21</v>
      </c>
      <c r="AO37" s="34">
        <f>H37*0</f>
        <v>0</v>
      </c>
      <c r="AP37" s="34">
        <f>H37*(1-0)</f>
        <v>0</v>
      </c>
      <c r="AQ37" s="29" t="s">
        <v>6</v>
      </c>
      <c r="AV37" s="34">
        <f>AW37+AX37</f>
        <v>0</v>
      </c>
      <c r="AW37" s="34">
        <f>G37*AO37</f>
        <v>0</v>
      </c>
      <c r="AX37" s="34">
        <f>G37*AP37</f>
        <v>0</v>
      </c>
      <c r="AY37" s="35" t="s">
        <v>1028</v>
      </c>
      <c r="AZ37" s="35" t="s">
        <v>1063</v>
      </c>
      <c r="BA37" s="28" t="s">
        <v>1085</v>
      </c>
      <c r="BC37" s="34">
        <f>AW37+AX37</f>
        <v>0</v>
      </c>
      <c r="BD37" s="34">
        <f>H37/(100-BE37)*100</f>
        <v>0</v>
      </c>
      <c r="BE37" s="34">
        <v>0</v>
      </c>
      <c r="BF37" s="34">
        <f>37</f>
        <v>37</v>
      </c>
      <c r="BH37" s="18">
        <f>G37*AO37</f>
        <v>0</v>
      </c>
      <c r="BI37" s="18">
        <f>G37*AP37</f>
        <v>0</v>
      </c>
      <c r="BJ37" s="18">
        <f>G37*H37</f>
        <v>0</v>
      </c>
    </row>
    <row r="38" spans="3:7" ht="12.75">
      <c r="C38" s="101" t="s">
        <v>552</v>
      </c>
      <c r="D38" s="102"/>
      <c r="E38" s="102"/>
      <c r="G38" s="64">
        <v>19.3</v>
      </c>
    </row>
    <row r="39" spans="1:62" ht="12.75">
      <c r="A39" s="6" t="s">
        <v>16</v>
      </c>
      <c r="B39" s="6" t="s">
        <v>333</v>
      </c>
      <c r="C39" s="103" t="s">
        <v>553</v>
      </c>
      <c r="D39" s="104"/>
      <c r="E39" s="104"/>
      <c r="F39" s="6" t="s">
        <v>985</v>
      </c>
      <c r="G39" s="65">
        <v>5.79</v>
      </c>
      <c r="H39" s="19">
        <v>0</v>
      </c>
      <c r="I39" s="19">
        <f>G39*AO39</f>
        <v>0</v>
      </c>
      <c r="J39" s="19">
        <f>G39*AP39</f>
        <v>0</v>
      </c>
      <c r="K39" s="19">
        <f>G39*H39</f>
        <v>0</v>
      </c>
      <c r="L39" s="30"/>
      <c r="Z39" s="34">
        <f>IF(AQ39="5",BJ39,0)</f>
        <v>0</v>
      </c>
      <c r="AB39" s="34">
        <f>IF(AQ39="1",BH39,0)</f>
        <v>0</v>
      </c>
      <c r="AC39" s="34">
        <f>IF(AQ39="1",BI39,0)</f>
        <v>0</v>
      </c>
      <c r="AD39" s="34">
        <f>IF(AQ39="7",BH39,0)</f>
        <v>0</v>
      </c>
      <c r="AE39" s="34">
        <f>IF(AQ39="7",BI39,0)</f>
        <v>0</v>
      </c>
      <c r="AF39" s="34">
        <f>IF(AQ39="2",BH39,0)</f>
        <v>0</v>
      </c>
      <c r="AG39" s="34">
        <f>IF(AQ39="2",BI39,0)</f>
        <v>0</v>
      </c>
      <c r="AH39" s="34">
        <f>IF(AQ39="0",BJ39,0)</f>
        <v>0</v>
      </c>
      <c r="AI39" s="28" t="s">
        <v>1020</v>
      </c>
      <c r="AJ39" s="19">
        <f>IF(AN39=0,K39,0)</f>
        <v>0</v>
      </c>
      <c r="AK39" s="19">
        <f>IF(AN39=15,K39,0)</f>
        <v>0</v>
      </c>
      <c r="AL39" s="19">
        <f>IF(AN39=21,K39,0)</f>
        <v>0</v>
      </c>
      <c r="AN39" s="34">
        <v>21</v>
      </c>
      <c r="AO39" s="34">
        <f>H39*1</f>
        <v>0</v>
      </c>
      <c r="AP39" s="34">
        <f>H39*(1-1)</f>
        <v>0</v>
      </c>
      <c r="AQ39" s="30" t="s">
        <v>6</v>
      </c>
      <c r="AV39" s="34">
        <f>AW39+AX39</f>
        <v>0</v>
      </c>
      <c r="AW39" s="34">
        <f>G39*AO39</f>
        <v>0</v>
      </c>
      <c r="AX39" s="34">
        <f>G39*AP39</f>
        <v>0</v>
      </c>
      <c r="AY39" s="35" t="s">
        <v>1028</v>
      </c>
      <c r="AZ39" s="35" t="s">
        <v>1063</v>
      </c>
      <c r="BA39" s="28" t="s">
        <v>1085</v>
      </c>
      <c r="BC39" s="34">
        <f>AW39+AX39</f>
        <v>0</v>
      </c>
      <c r="BD39" s="34">
        <f>H39/(100-BE39)*100</f>
        <v>0</v>
      </c>
      <c r="BE39" s="34">
        <v>0</v>
      </c>
      <c r="BF39" s="34">
        <f>39</f>
        <v>39</v>
      </c>
      <c r="BH39" s="19">
        <f>G39*AO39</f>
        <v>0</v>
      </c>
      <c r="BI39" s="19">
        <f>G39*AP39</f>
        <v>0</v>
      </c>
      <c r="BJ39" s="19">
        <f>G39*H39</f>
        <v>0</v>
      </c>
    </row>
    <row r="40" spans="3:7" ht="12.75">
      <c r="C40" s="101" t="s">
        <v>554</v>
      </c>
      <c r="D40" s="102"/>
      <c r="E40" s="102"/>
      <c r="G40" s="64">
        <v>5.79</v>
      </c>
    </row>
    <row r="41" spans="1:47" ht="12.75">
      <c r="A41" s="4"/>
      <c r="B41" s="14" t="s">
        <v>24</v>
      </c>
      <c r="C41" s="97" t="s">
        <v>555</v>
      </c>
      <c r="D41" s="98"/>
      <c r="E41" s="98"/>
      <c r="F41" s="4" t="s">
        <v>5</v>
      </c>
      <c r="G41" s="4" t="s">
        <v>5</v>
      </c>
      <c r="H41" s="4" t="s">
        <v>5</v>
      </c>
      <c r="I41" s="37">
        <f>SUM(I42:I42)</f>
        <v>0</v>
      </c>
      <c r="J41" s="37">
        <f>SUM(J42:J42)</f>
        <v>0</v>
      </c>
      <c r="K41" s="37">
        <f>SUM(K42:K42)</f>
        <v>0</v>
      </c>
      <c r="L41" s="28"/>
      <c r="AI41" s="28" t="s">
        <v>1020</v>
      </c>
      <c r="AS41" s="37">
        <f>SUM(AJ42:AJ42)</f>
        <v>0</v>
      </c>
      <c r="AT41" s="37">
        <f>SUM(AK42:AK42)</f>
        <v>0</v>
      </c>
      <c r="AU41" s="37">
        <f>SUM(AL42:AL42)</f>
        <v>0</v>
      </c>
    </row>
    <row r="42" spans="1:62" ht="12.75">
      <c r="A42" s="5" t="s">
        <v>17</v>
      </c>
      <c r="B42" s="5" t="s">
        <v>334</v>
      </c>
      <c r="C42" s="99" t="s">
        <v>556</v>
      </c>
      <c r="D42" s="100"/>
      <c r="E42" s="100"/>
      <c r="F42" s="5" t="s">
        <v>985</v>
      </c>
      <c r="G42" s="63">
        <v>2.895</v>
      </c>
      <c r="H42" s="18">
        <v>0</v>
      </c>
      <c r="I42" s="18">
        <f>G42*AO42</f>
        <v>0</v>
      </c>
      <c r="J42" s="18">
        <f>G42*AP42</f>
        <v>0</v>
      </c>
      <c r="K42" s="18">
        <f>G42*H42</f>
        <v>0</v>
      </c>
      <c r="L42" s="29"/>
      <c r="Z42" s="34">
        <f>IF(AQ42="5",BJ42,0)</f>
        <v>0</v>
      </c>
      <c r="AB42" s="34">
        <f>IF(AQ42="1",BH42,0)</f>
        <v>0</v>
      </c>
      <c r="AC42" s="34">
        <f>IF(AQ42="1",BI42,0)</f>
        <v>0</v>
      </c>
      <c r="AD42" s="34">
        <f>IF(AQ42="7",BH42,0)</f>
        <v>0</v>
      </c>
      <c r="AE42" s="34">
        <f>IF(AQ42="7",BI42,0)</f>
        <v>0</v>
      </c>
      <c r="AF42" s="34">
        <f>IF(AQ42="2",BH42,0)</f>
        <v>0</v>
      </c>
      <c r="AG42" s="34">
        <f>IF(AQ42="2",BI42,0)</f>
        <v>0</v>
      </c>
      <c r="AH42" s="34">
        <f>IF(AQ42="0",BJ42,0)</f>
        <v>0</v>
      </c>
      <c r="AI42" s="28" t="s">
        <v>1020</v>
      </c>
      <c r="AJ42" s="18">
        <f>IF(AN42=0,K42,0)</f>
        <v>0</v>
      </c>
      <c r="AK42" s="18">
        <f>IF(AN42=15,K42,0)</f>
        <v>0</v>
      </c>
      <c r="AL42" s="18">
        <f>IF(AN42=21,K42,0)</f>
        <v>0</v>
      </c>
      <c r="AN42" s="34">
        <v>21</v>
      </c>
      <c r="AO42" s="34">
        <f>H42*0</f>
        <v>0</v>
      </c>
      <c r="AP42" s="34">
        <f>H42*(1-0)</f>
        <v>0</v>
      </c>
      <c r="AQ42" s="29" t="s">
        <v>6</v>
      </c>
      <c r="AV42" s="34">
        <f>AW42+AX42</f>
        <v>0</v>
      </c>
      <c r="AW42" s="34">
        <f>G42*AO42</f>
        <v>0</v>
      </c>
      <c r="AX42" s="34">
        <f>G42*AP42</f>
        <v>0</v>
      </c>
      <c r="AY42" s="35" t="s">
        <v>1029</v>
      </c>
      <c r="AZ42" s="35" t="s">
        <v>1063</v>
      </c>
      <c r="BA42" s="28" t="s">
        <v>1085</v>
      </c>
      <c r="BC42" s="34">
        <f>AW42+AX42</f>
        <v>0</v>
      </c>
      <c r="BD42" s="34">
        <f>H42/(100-BE42)*100</f>
        <v>0</v>
      </c>
      <c r="BE42" s="34">
        <v>0</v>
      </c>
      <c r="BF42" s="34">
        <f>42</f>
        <v>42</v>
      </c>
      <c r="BH42" s="18">
        <f>G42*AO42</f>
        <v>0</v>
      </c>
      <c r="BI42" s="18">
        <f>G42*AP42</f>
        <v>0</v>
      </c>
      <c r="BJ42" s="18">
        <f>G42*H42</f>
        <v>0</v>
      </c>
    </row>
    <row r="43" spans="3:7" ht="12.75">
      <c r="C43" s="101" t="s">
        <v>538</v>
      </c>
      <c r="D43" s="102"/>
      <c r="E43" s="102"/>
      <c r="G43" s="64">
        <v>2.895</v>
      </c>
    </row>
    <row r="44" spans="1:47" ht="12.75">
      <c r="A44" s="4"/>
      <c r="B44" s="14" t="s">
        <v>50</v>
      </c>
      <c r="C44" s="97" t="s">
        <v>557</v>
      </c>
      <c r="D44" s="98"/>
      <c r="E44" s="98"/>
      <c r="F44" s="4" t="s">
        <v>5</v>
      </c>
      <c r="G44" s="4" t="s">
        <v>5</v>
      </c>
      <c r="H44" s="4" t="s">
        <v>5</v>
      </c>
      <c r="I44" s="37">
        <f>SUM(I45:I45)</f>
        <v>0</v>
      </c>
      <c r="J44" s="37">
        <f>SUM(J45:J45)</f>
        <v>0</v>
      </c>
      <c r="K44" s="37">
        <f>SUM(K45:K45)</f>
        <v>0</v>
      </c>
      <c r="L44" s="28"/>
      <c r="AI44" s="28" t="s">
        <v>1020</v>
      </c>
      <c r="AS44" s="37">
        <f>SUM(AJ45:AJ45)</f>
        <v>0</v>
      </c>
      <c r="AT44" s="37">
        <f>SUM(AK45:AK45)</f>
        <v>0</v>
      </c>
      <c r="AU44" s="37">
        <f>SUM(AL45:AL45)</f>
        <v>0</v>
      </c>
    </row>
    <row r="45" spans="1:62" ht="12.75">
      <c r="A45" s="5" t="s">
        <v>18</v>
      </c>
      <c r="B45" s="5" t="s">
        <v>335</v>
      </c>
      <c r="C45" s="99" t="s">
        <v>558</v>
      </c>
      <c r="D45" s="100"/>
      <c r="E45" s="100"/>
      <c r="F45" s="5" t="s">
        <v>984</v>
      </c>
      <c r="G45" s="63">
        <v>9.65</v>
      </c>
      <c r="H45" s="18">
        <v>0</v>
      </c>
      <c r="I45" s="18">
        <f>G45*AO45</f>
        <v>0</v>
      </c>
      <c r="J45" s="18">
        <f>G45*AP45</f>
        <v>0</v>
      </c>
      <c r="K45" s="18">
        <f>G45*H45</f>
        <v>0</v>
      </c>
      <c r="L45" s="29"/>
      <c r="Z45" s="34">
        <f>IF(AQ45="5",BJ45,0)</f>
        <v>0</v>
      </c>
      <c r="AB45" s="34">
        <f>IF(AQ45="1",BH45,0)</f>
        <v>0</v>
      </c>
      <c r="AC45" s="34">
        <f>IF(AQ45="1",BI45,0)</f>
        <v>0</v>
      </c>
      <c r="AD45" s="34">
        <f>IF(AQ45="7",BH45,0)</f>
        <v>0</v>
      </c>
      <c r="AE45" s="34">
        <f>IF(AQ45="7",BI45,0)</f>
        <v>0</v>
      </c>
      <c r="AF45" s="34">
        <f>IF(AQ45="2",BH45,0)</f>
        <v>0</v>
      </c>
      <c r="AG45" s="34">
        <f>IF(AQ45="2",BI45,0)</f>
        <v>0</v>
      </c>
      <c r="AH45" s="34">
        <f>IF(AQ45="0",BJ45,0)</f>
        <v>0</v>
      </c>
      <c r="AI45" s="28" t="s">
        <v>1020</v>
      </c>
      <c r="AJ45" s="18">
        <f>IF(AN45=0,K45,0)</f>
        <v>0</v>
      </c>
      <c r="AK45" s="18">
        <f>IF(AN45=15,K45,0)</f>
        <v>0</v>
      </c>
      <c r="AL45" s="18">
        <f>IF(AN45=21,K45,0)</f>
        <v>0</v>
      </c>
      <c r="AN45" s="34">
        <v>21</v>
      </c>
      <c r="AO45" s="34">
        <f>H45*0.463225437234993</f>
        <v>0</v>
      </c>
      <c r="AP45" s="34">
        <f>H45*(1-0.463225437234993)</f>
        <v>0</v>
      </c>
      <c r="AQ45" s="29" t="s">
        <v>6</v>
      </c>
      <c r="AV45" s="34">
        <f>AW45+AX45</f>
        <v>0</v>
      </c>
      <c r="AW45" s="34">
        <f>G45*AO45</f>
        <v>0</v>
      </c>
      <c r="AX45" s="34">
        <f>G45*AP45</f>
        <v>0</v>
      </c>
      <c r="AY45" s="35" t="s">
        <v>1030</v>
      </c>
      <c r="AZ45" s="35" t="s">
        <v>1064</v>
      </c>
      <c r="BA45" s="28" t="s">
        <v>1085</v>
      </c>
      <c r="BC45" s="34">
        <f>AW45+AX45</f>
        <v>0</v>
      </c>
      <c r="BD45" s="34">
        <f>H45/(100-BE45)*100</f>
        <v>0</v>
      </c>
      <c r="BE45" s="34">
        <v>0</v>
      </c>
      <c r="BF45" s="34">
        <f>45</f>
        <v>45</v>
      </c>
      <c r="BH45" s="18">
        <f>G45*AO45</f>
        <v>0</v>
      </c>
      <c r="BI45" s="18">
        <f>G45*AP45</f>
        <v>0</v>
      </c>
      <c r="BJ45" s="18">
        <f>G45*H45</f>
        <v>0</v>
      </c>
    </row>
    <row r="46" spans="3:7" ht="12.75">
      <c r="C46" s="101" t="s">
        <v>559</v>
      </c>
      <c r="D46" s="102"/>
      <c r="E46" s="102"/>
      <c r="G46" s="64">
        <v>9.65</v>
      </c>
    </row>
    <row r="47" spans="1:47" ht="12.75">
      <c r="A47" s="4"/>
      <c r="B47" s="14" t="s">
        <v>64</v>
      </c>
      <c r="C47" s="97" t="s">
        <v>560</v>
      </c>
      <c r="D47" s="98"/>
      <c r="E47" s="98"/>
      <c r="F47" s="4" t="s">
        <v>5</v>
      </c>
      <c r="G47" s="4" t="s">
        <v>5</v>
      </c>
      <c r="H47" s="4" t="s">
        <v>5</v>
      </c>
      <c r="I47" s="37">
        <f>SUM(I48:I52)</f>
        <v>0</v>
      </c>
      <c r="J47" s="37">
        <f>SUM(J48:J52)</f>
        <v>0</v>
      </c>
      <c r="K47" s="37">
        <f>SUM(K48:K52)</f>
        <v>0</v>
      </c>
      <c r="L47" s="28"/>
      <c r="AI47" s="28" t="s">
        <v>1020</v>
      </c>
      <c r="AS47" s="37">
        <f>SUM(AJ48:AJ52)</f>
        <v>0</v>
      </c>
      <c r="AT47" s="37">
        <f>SUM(AK48:AK52)</f>
        <v>0</v>
      </c>
      <c r="AU47" s="37">
        <f>SUM(AL48:AL52)</f>
        <v>0</v>
      </c>
    </row>
    <row r="48" spans="1:62" ht="12.75">
      <c r="A48" s="5" t="s">
        <v>19</v>
      </c>
      <c r="B48" s="5" t="s">
        <v>336</v>
      </c>
      <c r="C48" s="99" t="s">
        <v>561</v>
      </c>
      <c r="D48" s="100"/>
      <c r="E48" s="100"/>
      <c r="F48" s="5" t="s">
        <v>984</v>
      </c>
      <c r="G48" s="63">
        <v>9.65</v>
      </c>
      <c r="H48" s="18">
        <v>0</v>
      </c>
      <c r="I48" s="18">
        <f>G48*AO48</f>
        <v>0</v>
      </c>
      <c r="J48" s="18">
        <f>G48*AP48</f>
        <v>0</v>
      </c>
      <c r="K48" s="18">
        <f>G48*H48</f>
        <v>0</v>
      </c>
      <c r="L48" s="29"/>
      <c r="Z48" s="34">
        <f>IF(AQ48="5",BJ48,0)</f>
        <v>0</v>
      </c>
      <c r="AB48" s="34">
        <f>IF(AQ48="1",BH48,0)</f>
        <v>0</v>
      </c>
      <c r="AC48" s="34">
        <f>IF(AQ48="1",BI48,0)</f>
        <v>0</v>
      </c>
      <c r="AD48" s="34">
        <f>IF(AQ48="7",BH48,0)</f>
        <v>0</v>
      </c>
      <c r="AE48" s="34">
        <f>IF(AQ48="7",BI48,0)</f>
        <v>0</v>
      </c>
      <c r="AF48" s="34">
        <f>IF(AQ48="2",BH48,0)</f>
        <v>0</v>
      </c>
      <c r="AG48" s="34">
        <f>IF(AQ48="2",BI48,0)</f>
        <v>0</v>
      </c>
      <c r="AH48" s="34">
        <f>IF(AQ48="0",BJ48,0)</f>
        <v>0</v>
      </c>
      <c r="AI48" s="28" t="s">
        <v>1020</v>
      </c>
      <c r="AJ48" s="18">
        <f>IF(AN48=0,K48,0)</f>
        <v>0</v>
      </c>
      <c r="AK48" s="18">
        <f>IF(AN48=15,K48,0)</f>
        <v>0</v>
      </c>
      <c r="AL48" s="18">
        <f>IF(AN48=21,K48,0)</f>
        <v>0</v>
      </c>
      <c r="AN48" s="34">
        <v>21</v>
      </c>
      <c r="AO48" s="34">
        <f>H48*0.703365019011407</f>
        <v>0</v>
      </c>
      <c r="AP48" s="34">
        <f>H48*(1-0.703365019011407)</f>
        <v>0</v>
      </c>
      <c r="AQ48" s="29" t="s">
        <v>6</v>
      </c>
      <c r="AV48" s="34">
        <f>AW48+AX48</f>
        <v>0</v>
      </c>
      <c r="AW48" s="34">
        <f>G48*AO48</f>
        <v>0</v>
      </c>
      <c r="AX48" s="34">
        <f>G48*AP48</f>
        <v>0</v>
      </c>
      <c r="AY48" s="35" t="s">
        <v>1031</v>
      </c>
      <c r="AZ48" s="35" t="s">
        <v>1065</v>
      </c>
      <c r="BA48" s="28" t="s">
        <v>1085</v>
      </c>
      <c r="BC48" s="34">
        <f>AW48+AX48</f>
        <v>0</v>
      </c>
      <c r="BD48" s="34">
        <f>H48/(100-BE48)*100</f>
        <v>0</v>
      </c>
      <c r="BE48" s="34">
        <v>0</v>
      </c>
      <c r="BF48" s="34">
        <f>48</f>
        <v>48</v>
      </c>
      <c r="BH48" s="18">
        <f>G48*AO48</f>
        <v>0</v>
      </c>
      <c r="BI48" s="18">
        <f>G48*AP48</f>
        <v>0</v>
      </c>
      <c r="BJ48" s="18">
        <f>G48*H48</f>
        <v>0</v>
      </c>
    </row>
    <row r="49" spans="3:7" ht="12.75">
      <c r="C49" s="101" t="s">
        <v>559</v>
      </c>
      <c r="D49" s="102"/>
      <c r="E49" s="102"/>
      <c r="G49" s="64">
        <v>9.65</v>
      </c>
    </row>
    <row r="50" spans="1:62" ht="12.75">
      <c r="A50" s="5" t="s">
        <v>20</v>
      </c>
      <c r="B50" s="5" t="s">
        <v>337</v>
      </c>
      <c r="C50" s="99" t="s">
        <v>562</v>
      </c>
      <c r="D50" s="100"/>
      <c r="E50" s="100"/>
      <c r="F50" s="5" t="s">
        <v>984</v>
      </c>
      <c r="G50" s="63">
        <v>17.8</v>
      </c>
      <c r="H50" s="18">
        <v>0</v>
      </c>
      <c r="I50" s="18">
        <f>G50*AO50</f>
        <v>0</v>
      </c>
      <c r="J50" s="18">
        <f>G50*AP50</f>
        <v>0</v>
      </c>
      <c r="K50" s="18">
        <f>G50*H50</f>
        <v>0</v>
      </c>
      <c r="L50" s="29"/>
      <c r="Z50" s="34">
        <f>IF(AQ50="5",BJ50,0)</f>
        <v>0</v>
      </c>
      <c r="AB50" s="34">
        <f>IF(AQ50="1",BH50,0)</f>
        <v>0</v>
      </c>
      <c r="AC50" s="34">
        <f>IF(AQ50="1",BI50,0)</f>
        <v>0</v>
      </c>
      <c r="AD50" s="34">
        <f>IF(AQ50="7",BH50,0)</f>
        <v>0</v>
      </c>
      <c r="AE50" s="34">
        <f>IF(AQ50="7",BI50,0)</f>
        <v>0</v>
      </c>
      <c r="AF50" s="34">
        <f>IF(AQ50="2",BH50,0)</f>
        <v>0</v>
      </c>
      <c r="AG50" s="34">
        <f>IF(AQ50="2",BI50,0)</f>
        <v>0</v>
      </c>
      <c r="AH50" s="34">
        <f>IF(AQ50="0",BJ50,0)</f>
        <v>0</v>
      </c>
      <c r="AI50" s="28" t="s">
        <v>1020</v>
      </c>
      <c r="AJ50" s="18">
        <f>IF(AN50=0,K50,0)</f>
        <v>0</v>
      </c>
      <c r="AK50" s="18">
        <f>IF(AN50=15,K50,0)</f>
        <v>0</v>
      </c>
      <c r="AL50" s="18">
        <f>IF(AN50=21,K50,0)</f>
        <v>0</v>
      </c>
      <c r="AN50" s="34">
        <v>21</v>
      </c>
      <c r="AO50" s="34">
        <f>H50*0.151081081081081</f>
        <v>0</v>
      </c>
      <c r="AP50" s="34">
        <f>H50*(1-0.151081081081081)</f>
        <v>0</v>
      </c>
      <c r="AQ50" s="29" t="s">
        <v>6</v>
      </c>
      <c r="AV50" s="34">
        <f>AW50+AX50</f>
        <v>0</v>
      </c>
      <c r="AW50" s="34">
        <f>G50*AO50</f>
        <v>0</v>
      </c>
      <c r="AX50" s="34">
        <f>G50*AP50</f>
        <v>0</v>
      </c>
      <c r="AY50" s="35" t="s">
        <v>1031</v>
      </c>
      <c r="AZ50" s="35" t="s">
        <v>1065</v>
      </c>
      <c r="BA50" s="28" t="s">
        <v>1085</v>
      </c>
      <c r="BC50" s="34">
        <f>AW50+AX50</f>
        <v>0</v>
      </c>
      <c r="BD50" s="34">
        <f>H50/(100-BE50)*100</f>
        <v>0</v>
      </c>
      <c r="BE50" s="34">
        <v>0</v>
      </c>
      <c r="BF50" s="34">
        <f>50</f>
        <v>50</v>
      </c>
      <c r="BH50" s="18">
        <f>G50*AO50</f>
        <v>0</v>
      </c>
      <c r="BI50" s="18">
        <f>G50*AP50</f>
        <v>0</v>
      </c>
      <c r="BJ50" s="18">
        <f>G50*H50</f>
        <v>0</v>
      </c>
    </row>
    <row r="51" spans="3:7" ht="12.75">
      <c r="C51" s="101" t="s">
        <v>534</v>
      </c>
      <c r="D51" s="102"/>
      <c r="E51" s="102"/>
      <c r="G51" s="64">
        <v>17.8</v>
      </c>
    </row>
    <row r="52" spans="1:62" ht="12.75">
      <c r="A52" s="5" t="s">
        <v>21</v>
      </c>
      <c r="B52" s="5" t="s">
        <v>338</v>
      </c>
      <c r="C52" s="99" t="s">
        <v>563</v>
      </c>
      <c r="D52" s="100"/>
      <c r="E52" s="100"/>
      <c r="F52" s="5" t="s">
        <v>986</v>
      </c>
      <c r="G52" s="63">
        <v>35.6</v>
      </c>
      <c r="H52" s="18">
        <v>0</v>
      </c>
      <c r="I52" s="18">
        <f>G52*AO52</f>
        <v>0</v>
      </c>
      <c r="J52" s="18">
        <f>G52*AP52</f>
        <v>0</v>
      </c>
      <c r="K52" s="18">
        <f>G52*H52</f>
        <v>0</v>
      </c>
      <c r="L52" s="29"/>
      <c r="Z52" s="34">
        <f>IF(AQ52="5",BJ52,0)</f>
        <v>0</v>
      </c>
      <c r="AB52" s="34">
        <f>IF(AQ52="1",BH52,0)</f>
        <v>0</v>
      </c>
      <c r="AC52" s="34">
        <f>IF(AQ52="1",BI52,0)</f>
        <v>0</v>
      </c>
      <c r="AD52" s="34">
        <f>IF(AQ52="7",BH52,0)</f>
        <v>0</v>
      </c>
      <c r="AE52" s="34">
        <f>IF(AQ52="7",BI52,0)</f>
        <v>0</v>
      </c>
      <c r="AF52" s="34">
        <f>IF(AQ52="2",BH52,0)</f>
        <v>0</v>
      </c>
      <c r="AG52" s="34">
        <f>IF(AQ52="2",BI52,0)</f>
        <v>0</v>
      </c>
      <c r="AH52" s="34">
        <f>IF(AQ52="0",BJ52,0)</f>
        <v>0</v>
      </c>
      <c r="AI52" s="28" t="s">
        <v>1020</v>
      </c>
      <c r="AJ52" s="18">
        <f>IF(AN52=0,K52,0)</f>
        <v>0</v>
      </c>
      <c r="AK52" s="18">
        <f>IF(AN52=15,K52,0)</f>
        <v>0</v>
      </c>
      <c r="AL52" s="18">
        <f>IF(AN52=21,K52,0)</f>
        <v>0</v>
      </c>
      <c r="AN52" s="34">
        <v>21</v>
      </c>
      <c r="AO52" s="34">
        <f>H52*0.0619396551724138</f>
        <v>0</v>
      </c>
      <c r="AP52" s="34">
        <f>H52*(1-0.0619396551724138)</f>
        <v>0</v>
      </c>
      <c r="AQ52" s="29" t="s">
        <v>6</v>
      </c>
      <c r="AV52" s="34">
        <f>AW52+AX52</f>
        <v>0</v>
      </c>
      <c r="AW52" s="34">
        <f>G52*AO52</f>
        <v>0</v>
      </c>
      <c r="AX52" s="34">
        <f>G52*AP52</f>
        <v>0</v>
      </c>
      <c r="AY52" s="35" t="s">
        <v>1031</v>
      </c>
      <c r="AZ52" s="35" t="s">
        <v>1065</v>
      </c>
      <c r="BA52" s="28" t="s">
        <v>1085</v>
      </c>
      <c r="BC52" s="34">
        <f>AW52+AX52</f>
        <v>0</v>
      </c>
      <c r="BD52" s="34">
        <f>H52/(100-BE52)*100</f>
        <v>0</v>
      </c>
      <c r="BE52" s="34">
        <v>0</v>
      </c>
      <c r="BF52" s="34">
        <f>52</f>
        <v>52</v>
      </c>
      <c r="BH52" s="18">
        <f>G52*AO52</f>
        <v>0</v>
      </c>
      <c r="BI52" s="18">
        <f>G52*AP52</f>
        <v>0</v>
      </c>
      <c r="BJ52" s="18">
        <f>G52*H52</f>
        <v>0</v>
      </c>
    </row>
    <row r="53" spans="3:7" ht="12.75">
      <c r="C53" s="101" t="s">
        <v>564</v>
      </c>
      <c r="D53" s="102"/>
      <c r="E53" s="102"/>
      <c r="G53" s="64">
        <v>35.6</v>
      </c>
    </row>
    <row r="54" spans="1:47" ht="12.75">
      <c r="A54" s="4"/>
      <c r="B54" s="14" t="s">
        <v>11</v>
      </c>
      <c r="C54" s="97" t="s">
        <v>565</v>
      </c>
      <c r="D54" s="98"/>
      <c r="E54" s="98"/>
      <c r="F54" s="4" t="s">
        <v>5</v>
      </c>
      <c r="G54" s="4" t="s">
        <v>5</v>
      </c>
      <c r="H54" s="4" t="s">
        <v>5</v>
      </c>
      <c r="I54" s="37">
        <f>SUM(I55:I67)</f>
        <v>0</v>
      </c>
      <c r="J54" s="37">
        <f>SUM(J55:J67)</f>
        <v>0</v>
      </c>
      <c r="K54" s="37">
        <f>SUM(K55:K67)</f>
        <v>0</v>
      </c>
      <c r="L54" s="28"/>
      <c r="AI54" s="28" t="s">
        <v>1020</v>
      </c>
      <c r="AS54" s="37">
        <f>SUM(AJ55:AJ67)</f>
        <v>0</v>
      </c>
      <c r="AT54" s="37">
        <f>SUM(AK55:AK67)</f>
        <v>0</v>
      </c>
      <c r="AU54" s="37">
        <f>SUM(AL55:AL67)</f>
        <v>0</v>
      </c>
    </row>
    <row r="55" spans="1:62" ht="12.75">
      <c r="A55" s="5" t="s">
        <v>22</v>
      </c>
      <c r="B55" s="5" t="s">
        <v>339</v>
      </c>
      <c r="C55" s="99" t="s">
        <v>566</v>
      </c>
      <c r="D55" s="100"/>
      <c r="E55" s="100"/>
      <c r="F55" s="5" t="s">
        <v>984</v>
      </c>
      <c r="G55" s="63">
        <v>243.86</v>
      </c>
      <c r="H55" s="18">
        <v>0</v>
      </c>
      <c r="I55" s="18">
        <f>G55*AO55</f>
        <v>0</v>
      </c>
      <c r="J55" s="18">
        <f>G55*AP55</f>
        <v>0</v>
      </c>
      <c r="K55" s="18">
        <f>G55*H55</f>
        <v>0</v>
      </c>
      <c r="L55" s="29"/>
      <c r="Z55" s="34">
        <f>IF(AQ55="5",BJ55,0)</f>
        <v>0</v>
      </c>
      <c r="AB55" s="34">
        <f>IF(AQ55="1",BH55,0)</f>
        <v>0</v>
      </c>
      <c r="AC55" s="34">
        <f>IF(AQ55="1",BI55,0)</f>
        <v>0</v>
      </c>
      <c r="AD55" s="34">
        <f>IF(AQ55="7",BH55,0)</f>
        <v>0</v>
      </c>
      <c r="AE55" s="34">
        <f>IF(AQ55="7",BI55,0)</f>
        <v>0</v>
      </c>
      <c r="AF55" s="34">
        <f>IF(AQ55="2",BH55,0)</f>
        <v>0</v>
      </c>
      <c r="AG55" s="34">
        <f>IF(AQ55="2",BI55,0)</f>
        <v>0</v>
      </c>
      <c r="AH55" s="34">
        <f>IF(AQ55="0",BJ55,0)</f>
        <v>0</v>
      </c>
      <c r="AI55" s="28" t="s">
        <v>1020</v>
      </c>
      <c r="AJ55" s="18">
        <f>IF(AN55=0,K55,0)</f>
        <v>0</v>
      </c>
      <c r="AK55" s="18">
        <f>IF(AN55=15,K55,0)</f>
        <v>0</v>
      </c>
      <c r="AL55" s="18">
        <f>IF(AN55=21,K55,0)</f>
        <v>0</v>
      </c>
      <c r="AN55" s="34">
        <v>21</v>
      </c>
      <c r="AO55" s="34">
        <f>H55*0.652472672492161</f>
        <v>0</v>
      </c>
      <c r="AP55" s="34">
        <f>H55*(1-0.652472672492161)</f>
        <v>0</v>
      </c>
      <c r="AQ55" s="29" t="s">
        <v>6</v>
      </c>
      <c r="AV55" s="34">
        <f>AW55+AX55</f>
        <v>0</v>
      </c>
      <c r="AW55" s="34">
        <f>G55*AO55</f>
        <v>0</v>
      </c>
      <c r="AX55" s="34">
        <f>G55*AP55</f>
        <v>0</v>
      </c>
      <c r="AY55" s="35" t="s">
        <v>1032</v>
      </c>
      <c r="AZ55" s="35" t="s">
        <v>1066</v>
      </c>
      <c r="BA55" s="28" t="s">
        <v>1085</v>
      </c>
      <c r="BC55" s="34">
        <f>AW55+AX55</f>
        <v>0</v>
      </c>
      <c r="BD55" s="34">
        <f>H55/(100-BE55)*100</f>
        <v>0</v>
      </c>
      <c r="BE55" s="34">
        <v>0</v>
      </c>
      <c r="BF55" s="34">
        <f>55</f>
        <v>55</v>
      </c>
      <c r="BH55" s="18">
        <f>G55*AO55</f>
        <v>0</v>
      </c>
      <c r="BI55" s="18">
        <f>G55*AP55</f>
        <v>0</v>
      </c>
      <c r="BJ55" s="18">
        <f>G55*H55</f>
        <v>0</v>
      </c>
    </row>
    <row r="56" spans="3:7" ht="12.75">
      <c r="C56" s="101" t="s">
        <v>567</v>
      </c>
      <c r="D56" s="102"/>
      <c r="E56" s="102"/>
      <c r="G56" s="64">
        <v>243.86</v>
      </c>
    </row>
    <row r="57" spans="1:62" ht="12.75">
      <c r="A57" s="5" t="s">
        <v>23</v>
      </c>
      <c r="B57" s="5" t="s">
        <v>340</v>
      </c>
      <c r="C57" s="99" t="s">
        <v>568</v>
      </c>
      <c r="D57" s="100"/>
      <c r="E57" s="100"/>
      <c r="F57" s="5" t="s">
        <v>984</v>
      </c>
      <c r="G57" s="63">
        <v>243.86</v>
      </c>
      <c r="H57" s="18">
        <v>0</v>
      </c>
      <c r="I57" s="18">
        <f>G57*AO57</f>
        <v>0</v>
      </c>
      <c r="J57" s="18">
        <f>G57*AP57</f>
        <v>0</v>
      </c>
      <c r="K57" s="18">
        <f>G57*H57</f>
        <v>0</v>
      </c>
      <c r="L57" s="29"/>
      <c r="Z57" s="34">
        <f>IF(AQ57="5",BJ57,0)</f>
        <v>0</v>
      </c>
      <c r="AB57" s="34">
        <f>IF(AQ57="1",BH57,0)</f>
        <v>0</v>
      </c>
      <c r="AC57" s="34">
        <f>IF(AQ57="1",BI57,0)</f>
        <v>0</v>
      </c>
      <c r="AD57" s="34">
        <f>IF(AQ57="7",BH57,0)</f>
        <v>0</v>
      </c>
      <c r="AE57" s="34">
        <f>IF(AQ57="7",BI57,0)</f>
        <v>0</v>
      </c>
      <c r="AF57" s="34">
        <f>IF(AQ57="2",BH57,0)</f>
        <v>0</v>
      </c>
      <c r="AG57" s="34">
        <f>IF(AQ57="2",BI57,0)</f>
        <v>0</v>
      </c>
      <c r="AH57" s="34">
        <f>IF(AQ57="0",BJ57,0)</f>
        <v>0</v>
      </c>
      <c r="AI57" s="28" t="s">
        <v>1020</v>
      </c>
      <c r="AJ57" s="18">
        <f>IF(AN57=0,K57,0)</f>
        <v>0</v>
      </c>
      <c r="AK57" s="18">
        <f>IF(AN57=15,K57,0)</f>
        <v>0</v>
      </c>
      <c r="AL57" s="18">
        <f>IF(AN57=21,K57,0)</f>
        <v>0</v>
      </c>
      <c r="AN57" s="34">
        <v>21</v>
      </c>
      <c r="AO57" s="34">
        <f>H57*0.512446171554082</f>
        <v>0</v>
      </c>
      <c r="AP57" s="34">
        <f>H57*(1-0.512446171554082)</f>
        <v>0</v>
      </c>
      <c r="AQ57" s="29" t="s">
        <v>6</v>
      </c>
      <c r="AV57" s="34">
        <f>AW57+AX57</f>
        <v>0</v>
      </c>
      <c r="AW57" s="34">
        <f>G57*AO57</f>
        <v>0</v>
      </c>
      <c r="AX57" s="34">
        <f>G57*AP57</f>
        <v>0</v>
      </c>
      <c r="AY57" s="35" t="s">
        <v>1032</v>
      </c>
      <c r="AZ57" s="35" t="s">
        <v>1066</v>
      </c>
      <c r="BA57" s="28" t="s">
        <v>1085</v>
      </c>
      <c r="BC57" s="34">
        <f>AW57+AX57</f>
        <v>0</v>
      </c>
      <c r="BD57" s="34">
        <f>H57/(100-BE57)*100</f>
        <v>0</v>
      </c>
      <c r="BE57" s="34">
        <v>0</v>
      </c>
      <c r="BF57" s="34">
        <f>57</f>
        <v>57</v>
      </c>
      <c r="BH57" s="18">
        <f>G57*AO57</f>
        <v>0</v>
      </c>
      <c r="BI57" s="18">
        <f>G57*AP57</f>
        <v>0</v>
      </c>
      <c r="BJ57" s="18">
        <f>G57*H57</f>
        <v>0</v>
      </c>
    </row>
    <row r="58" spans="3:7" ht="12.75">
      <c r="C58" s="101" t="s">
        <v>569</v>
      </c>
      <c r="D58" s="102"/>
      <c r="E58" s="102"/>
      <c r="G58" s="64">
        <v>243.86</v>
      </c>
    </row>
    <row r="59" spans="1:62" ht="12.75">
      <c r="A59" s="5" t="s">
        <v>24</v>
      </c>
      <c r="B59" s="5" t="s">
        <v>341</v>
      </c>
      <c r="C59" s="99" t="s">
        <v>570</v>
      </c>
      <c r="D59" s="100"/>
      <c r="E59" s="100"/>
      <c r="F59" s="5" t="s">
        <v>984</v>
      </c>
      <c r="G59" s="63">
        <v>18.132</v>
      </c>
      <c r="H59" s="18">
        <v>0</v>
      </c>
      <c r="I59" s="18">
        <f>G59*AO59</f>
        <v>0</v>
      </c>
      <c r="J59" s="18">
        <f>G59*AP59</f>
        <v>0</v>
      </c>
      <c r="K59" s="18">
        <f>G59*H59</f>
        <v>0</v>
      </c>
      <c r="L59" s="29"/>
      <c r="Z59" s="34">
        <f>IF(AQ59="5",BJ59,0)</f>
        <v>0</v>
      </c>
      <c r="AB59" s="34">
        <f>IF(AQ59="1",BH59,0)</f>
        <v>0</v>
      </c>
      <c r="AC59" s="34">
        <f>IF(AQ59="1",BI59,0)</f>
        <v>0</v>
      </c>
      <c r="AD59" s="34">
        <f>IF(AQ59="7",BH59,0)</f>
        <v>0</v>
      </c>
      <c r="AE59" s="34">
        <f>IF(AQ59="7",BI59,0)</f>
        <v>0</v>
      </c>
      <c r="AF59" s="34">
        <f>IF(AQ59="2",BH59,0)</f>
        <v>0</v>
      </c>
      <c r="AG59" s="34">
        <f>IF(AQ59="2",BI59,0)</f>
        <v>0</v>
      </c>
      <c r="AH59" s="34">
        <f>IF(AQ59="0",BJ59,0)</f>
        <v>0</v>
      </c>
      <c r="AI59" s="28" t="s">
        <v>1020</v>
      </c>
      <c r="AJ59" s="18">
        <f>IF(AN59=0,K59,0)</f>
        <v>0</v>
      </c>
      <c r="AK59" s="18">
        <f>IF(AN59=15,K59,0)</f>
        <v>0</v>
      </c>
      <c r="AL59" s="18">
        <f>IF(AN59=21,K59,0)</f>
        <v>0</v>
      </c>
      <c r="AN59" s="34">
        <v>21</v>
      </c>
      <c r="AO59" s="34">
        <f>H59*0.66231448784518</f>
        <v>0</v>
      </c>
      <c r="AP59" s="34">
        <f>H59*(1-0.66231448784518)</f>
        <v>0</v>
      </c>
      <c r="AQ59" s="29" t="s">
        <v>6</v>
      </c>
      <c r="AV59" s="34">
        <f>AW59+AX59</f>
        <v>0</v>
      </c>
      <c r="AW59" s="34">
        <f>G59*AO59</f>
        <v>0</v>
      </c>
      <c r="AX59" s="34">
        <f>G59*AP59</f>
        <v>0</v>
      </c>
      <c r="AY59" s="35" t="s">
        <v>1032</v>
      </c>
      <c r="AZ59" s="35" t="s">
        <v>1066</v>
      </c>
      <c r="BA59" s="28" t="s">
        <v>1085</v>
      </c>
      <c r="BC59" s="34">
        <f>AW59+AX59</f>
        <v>0</v>
      </c>
      <c r="BD59" s="34">
        <f>H59/(100-BE59)*100</f>
        <v>0</v>
      </c>
      <c r="BE59" s="34">
        <v>0</v>
      </c>
      <c r="BF59" s="34">
        <f>59</f>
        <v>59</v>
      </c>
      <c r="BH59" s="18">
        <f>G59*AO59</f>
        <v>0</v>
      </c>
      <c r="BI59" s="18">
        <f>G59*AP59</f>
        <v>0</v>
      </c>
      <c r="BJ59" s="18">
        <f>G59*H59</f>
        <v>0</v>
      </c>
    </row>
    <row r="60" spans="3:7" ht="12.75">
      <c r="C60" s="101" t="s">
        <v>571</v>
      </c>
      <c r="D60" s="102"/>
      <c r="E60" s="102"/>
      <c r="G60" s="64">
        <v>18.132</v>
      </c>
    </row>
    <row r="61" spans="1:62" ht="12.75">
      <c r="A61" s="5" t="s">
        <v>25</v>
      </c>
      <c r="B61" s="5" t="s">
        <v>342</v>
      </c>
      <c r="C61" s="99" t="s">
        <v>572</v>
      </c>
      <c r="D61" s="100"/>
      <c r="E61" s="100"/>
      <c r="F61" s="5" t="s">
        <v>984</v>
      </c>
      <c r="G61" s="63">
        <v>18.132</v>
      </c>
      <c r="H61" s="18">
        <v>0</v>
      </c>
      <c r="I61" s="18">
        <f>G61*AO61</f>
        <v>0</v>
      </c>
      <c r="J61" s="18">
        <f>G61*AP61</f>
        <v>0</v>
      </c>
      <c r="K61" s="18">
        <f>G61*H61</f>
        <v>0</v>
      </c>
      <c r="L61" s="29"/>
      <c r="Z61" s="34">
        <f>IF(AQ61="5",BJ61,0)</f>
        <v>0</v>
      </c>
      <c r="AB61" s="34">
        <f>IF(AQ61="1",BH61,0)</f>
        <v>0</v>
      </c>
      <c r="AC61" s="34">
        <f>IF(AQ61="1",BI61,0)</f>
        <v>0</v>
      </c>
      <c r="AD61" s="34">
        <f>IF(AQ61="7",BH61,0)</f>
        <v>0</v>
      </c>
      <c r="AE61" s="34">
        <f>IF(AQ61="7",BI61,0)</f>
        <v>0</v>
      </c>
      <c r="AF61" s="34">
        <f>IF(AQ61="2",BH61,0)</f>
        <v>0</v>
      </c>
      <c r="AG61" s="34">
        <f>IF(AQ61="2",BI61,0)</f>
        <v>0</v>
      </c>
      <c r="AH61" s="34">
        <f>IF(AQ61="0",BJ61,0)</f>
        <v>0</v>
      </c>
      <c r="AI61" s="28" t="s">
        <v>1020</v>
      </c>
      <c r="AJ61" s="18">
        <f>IF(AN61=0,K61,0)</f>
        <v>0</v>
      </c>
      <c r="AK61" s="18">
        <f>IF(AN61=15,K61,0)</f>
        <v>0</v>
      </c>
      <c r="AL61" s="18">
        <f>IF(AN61=21,K61,0)</f>
        <v>0</v>
      </c>
      <c r="AN61" s="34">
        <v>21</v>
      </c>
      <c r="AO61" s="34">
        <f>H61*0.555520551098251</f>
        <v>0</v>
      </c>
      <c r="AP61" s="34">
        <f>H61*(1-0.555520551098251)</f>
        <v>0</v>
      </c>
      <c r="AQ61" s="29" t="s">
        <v>6</v>
      </c>
      <c r="AV61" s="34">
        <f>AW61+AX61</f>
        <v>0</v>
      </c>
      <c r="AW61" s="34">
        <f>G61*AO61</f>
        <v>0</v>
      </c>
      <c r="AX61" s="34">
        <f>G61*AP61</f>
        <v>0</v>
      </c>
      <c r="AY61" s="35" t="s">
        <v>1032</v>
      </c>
      <c r="AZ61" s="35" t="s">
        <v>1066</v>
      </c>
      <c r="BA61" s="28" t="s">
        <v>1085</v>
      </c>
      <c r="BC61" s="34">
        <f>AW61+AX61</f>
        <v>0</v>
      </c>
      <c r="BD61" s="34">
        <f>H61/(100-BE61)*100</f>
        <v>0</v>
      </c>
      <c r="BE61" s="34">
        <v>0</v>
      </c>
      <c r="BF61" s="34">
        <f>61</f>
        <v>61</v>
      </c>
      <c r="BH61" s="18">
        <f>G61*AO61</f>
        <v>0</v>
      </c>
      <c r="BI61" s="18">
        <f>G61*AP61</f>
        <v>0</v>
      </c>
      <c r="BJ61" s="18">
        <f>G61*H61</f>
        <v>0</v>
      </c>
    </row>
    <row r="62" spans="3:7" ht="12.75">
      <c r="C62" s="101" t="s">
        <v>571</v>
      </c>
      <c r="D62" s="102"/>
      <c r="E62" s="102"/>
      <c r="G62" s="64">
        <v>18.132</v>
      </c>
    </row>
    <row r="63" spans="1:62" ht="12.75">
      <c r="A63" s="5" t="s">
        <v>26</v>
      </c>
      <c r="B63" s="5" t="s">
        <v>343</v>
      </c>
      <c r="C63" s="99" t="s">
        <v>573</v>
      </c>
      <c r="D63" s="100"/>
      <c r="E63" s="100"/>
      <c r="F63" s="5" t="s">
        <v>984</v>
      </c>
      <c r="G63" s="63">
        <v>248.787</v>
      </c>
      <c r="H63" s="18">
        <v>0</v>
      </c>
      <c r="I63" s="18">
        <f>G63*AO63</f>
        <v>0</v>
      </c>
      <c r="J63" s="18">
        <f>G63*AP63</f>
        <v>0</v>
      </c>
      <c r="K63" s="18">
        <f>G63*H63</f>
        <v>0</v>
      </c>
      <c r="L63" s="29"/>
      <c r="Z63" s="34">
        <f>IF(AQ63="5",BJ63,0)</f>
        <v>0</v>
      </c>
      <c r="AB63" s="34">
        <f>IF(AQ63="1",BH63,0)</f>
        <v>0</v>
      </c>
      <c r="AC63" s="34">
        <f>IF(AQ63="1",BI63,0)</f>
        <v>0</v>
      </c>
      <c r="AD63" s="34">
        <f>IF(AQ63="7",BH63,0)</f>
        <v>0</v>
      </c>
      <c r="AE63" s="34">
        <f>IF(AQ63="7",BI63,0)</f>
        <v>0</v>
      </c>
      <c r="AF63" s="34">
        <f>IF(AQ63="2",BH63,0)</f>
        <v>0</v>
      </c>
      <c r="AG63" s="34">
        <f>IF(AQ63="2",BI63,0)</f>
        <v>0</v>
      </c>
      <c r="AH63" s="34">
        <f>IF(AQ63="0",BJ63,0)</f>
        <v>0</v>
      </c>
      <c r="AI63" s="28" t="s">
        <v>1020</v>
      </c>
      <c r="AJ63" s="18">
        <f>IF(AN63=0,K63,0)</f>
        <v>0</v>
      </c>
      <c r="AK63" s="18">
        <f>IF(AN63=15,K63,0)</f>
        <v>0</v>
      </c>
      <c r="AL63" s="18">
        <f>IF(AN63=21,K63,0)</f>
        <v>0</v>
      </c>
      <c r="AN63" s="34">
        <v>21</v>
      </c>
      <c r="AO63" s="34">
        <f>H63*0.437252415570703</f>
        <v>0</v>
      </c>
      <c r="AP63" s="34">
        <f>H63*(1-0.437252415570703)</f>
        <v>0</v>
      </c>
      <c r="AQ63" s="29" t="s">
        <v>6</v>
      </c>
      <c r="AV63" s="34">
        <f>AW63+AX63</f>
        <v>0</v>
      </c>
      <c r="AW63" s="34">
        <f>G63*AO63</f>
        <v>0</v>
      </c>
      <c r="AX63" s="34">
        <f>G63*AP63</f>
        <v>0</v>
      </c>
      <c r="AY63" s="35" t="s">
        <v>1032</v>
      </c>
      <c r="AZ63" s="35" t="s">
        <v>1066</v>
      </c>
      <c r="BA63" s="28" t="s">
        <v>1085</v>
      </c>
      <c r="BC63" s="34">
        <f>AW63+AX63</f>
        <v>0</v>
      </c>
      <c r="BD63" s="34">
        <f>H63/(100-BE63)*100</f>
        <v>0</v>
      </c>
      <c r="BE63" s="34">
        <v>0</v>
      </c>
      <c r="BF63" s="34">
        <f>63</f>
        <v>63</v>
      </c>
      <c r="BH63" s="18">
        <f>G63*AO63</f>
        <v>0</v>
      </c>
      <c r="BI63" s="18">
        <f>G63*AP63</f>
        <v>0</v>
      </c>
      <c r="BJ63" s="18">
        <f>G63*H63</f>
        <v>0</v>
      </c>
    </row>
    <row r="64" spans="3:7" ht="12.75">
      <c r="C64" s="101" t="s">
        <v>574</v>
      </c>
      <c r="D64" s="102"/>
      <c r="E64" s="102"/>
      <c r="G64" s="64">
        <v>248.787</v>
      </c>
    </row>
    <row r="65" spans="1:62" ht="12.75">
      <c r="A65" s="5" t="s">
        <v>27</v>
      </c>
      <c r="B65" s="5" t="s">
        <v>344</v>
      </c>
      <c r="C65" s="99" t="s">
        <v>575</v>
      </c>
      <c r="D65" s="100"/>
      <c r="E65" s="100"/>
      <c r="F65" s="5" t="s">
        <v>984</v>
      </c>
      <c r="G65" s="63">
        <v>4.928</v>
      </c>
      <c r="H65" s="18">
        <v>0</v>
      </c>
      <c r="I65" s="18">
        <f>G65*AO65</f>
        <v>0</v>
      </c>
      <c r="J65" s="18">
        <f>G65*AP65</f>
        <v>0</v>
      </c>
      <c r="K65" s="18">
        <f>G65*H65</f>
        <v>0</v>
      </c>
      <c r="L65" s="29"/>
      <c r="Z65" s="34">
        <f>IF(AQ65="5",BJ65,0)</f>
        <v>0</v>
      </c>
      <c r="AB65" s="34">
        <f>IF(AQ65="1",BH65,0)</f>
        <v>0</v>
      </c>
      <c r="AC65" s="34">
        <f>IF(AQ65="1",BI65,0)</f>
        <v>0</v>
      </c>
      <c r="AD65" s="34">
        <f>IF(AQ65="7",BH65,0)</f>
        <v>0</v>
      </c>
      <c r="AE65" s="34">
        <f>IF(AQ65="7",BI65,0)</f>
        <v>0</v>
      </c>
      <c r="AF65" s="34">
        <f>IF(AQ65="2",BH65,0)</f>
        <v>0</v>
      </c>
      <c r="AG65" s="34">
        <f>IF(AQ65="2",BI65,0)</f>
        <v>0</v>
      </c>
      <c r="AH65" s="34">
        <f>IF(AQ65="0",BJ65,0)</f>
        <v>0</v>
      </c>
      <c r="AI65" s="28" t="s">
        <v>1020</v>
      </c>
      <c r="AJ65" s="18">
        <f>IF(AN65=0,K65,0)</f>
        <v>0</v>
      </c>
      <c r="AK65" s="18">
        <f>IF(AN65=15,K65,0)</f>
        <v>0</v>
      </c>
      <c r="AL65" s="18">
        <f>IF(AN65=21,K65,0)</f>
        <v>0</v>
      </c>
      <c r="AN65" s="34">
        <v>21</v>
      </c>
      <c r="AO65" s="34">
        <f>H65*0.597695947833125</f>
        <v>0</v>
      </c>
      <c r="AP65" s="34">
        <f>H65*(1-0.597695947833125)</f>
        <v>0</v>
      </c>
      <c r="AQ65" s="29" t="s">
        <v>6</v>
      </c>
      <c r="AV65" s="34">
        <f>AW65+AX65</f>
        <v>0</v>
      </c>
      <c r="AW65" s="34">
        <f>G65*AO65</f>
        <v>0</v>
      </c>
      <c r="AX65" s="34">
        <f>G65*AP65</f>
        <v>0</v>
      </c>
      <c r="AY65" s="35" t="s">
        <v>1032</v>
      </c>
      <c r="AZ65" s="35" t="s">
        <v>1066</v>
      </c>
      <c r="BA65" s="28" t="s">
        <v>1085</v>
      </c>
      <c r="BC65" s="34">
        <f>AW65+AX65</f>
        <v>0</v>
      </c>
      <c r="BD65" s="34">
        <f>H65/(100-BE65)*100</f>
        <v>0</v>
      </c>
      <c r="BE65" s="34">
        <v>0</v>
      </c>
      <c r="BF65" s="34">
        <f>65</f>
        <v>65</v>
      </c>
      <c r="BH65" s="18">
        <f>G65*AO65</f>
        <v>0</v>
      </c>
      <c r="BI65" s="18">
        <f>G65*AP65</f>
        <v>0</v>
      </c>
      <c r="BJ65" s="18">
        <f>G65*H65</f>
        <v>0</v>
      </c>
    </row>
    <row r="66" spans="3:7" ht="12.75">
      <c r="C66" s="101" t="s">
        <v>576</v>
      </c>
      <c r="D66" s="102"/>
      <c r="E66" s="102"/>
      <c r="G66" s="64">
        <v>4.928</v>
      </c>
    </row>
    <row r="67" spans="1:62" ht="12.75">
      <c r="A67" s="5" t="s">
        <v>28</v>
      </c>
      <c r="B67" s="5" t="s">
        <v>345</v>
      </c>
      <c r="C67" s="99" t="s">
        <v>577</v>
      </c>
      <c r="D67" s="100"/>
      <c r="E67" s="100"/>
      <c r="F67" s="5" t="s">
        <v>984</v>
      </c>
      <c r="G67" s="63">
        <v>4.928</v>
      </c>
      <c r="H67" s="18">
        <v>0</v>
      </c>
      <c r="I67" s="18">
        <f>G67*AO67</f>
        <v>0</v>
      </c>
      <c r="J67" s="18">
        <f>G67*AP67</f>
        <v>0</v>
      </c>
      <c r="K67" s="18">
        <f>G67*H67</f>
        <v>0</v>
      </c>
      <c r="L67" s="29"/>
      <c r="Z67" s="34">
        <f>IF(AQ67="5",BJ67,0)</f>
        <v>0</v>
      </c>
      <c r="AB67" s="34">
        <f>IF(AQ67="1",BH67,0)</f>
        <v>0</v>
      </c>
      <c r="AC67" s="34">
        <f>IF(AQ67="1",BI67,0)</f>
        <v>0</v>
      </c>
      <c r="AD67" s="34">
        <f>IF(AQ67="7",BH67,0)</f>
        <v>0</v>
      </c>
      <c r="AE67" s="34">
        <f>IF(AQ67="7",BI67,0)</f>
        <v>0</v>
      </c>
      <c r="AF67" s="34">
        <f>IF(AQ67="2",BH67,0)</f>
        <v>0</v>
      </c>
      <c r="AG67" s="34">
        <f>IF(AQ67="2",BI67,0)</f>
        <v>0</v>
      </c>
      <c r="AH67" s="34">
        <f>IF(AQ67="0",BJ67,0)</f>
        <v>0</v>
      </c>
      <c r="AI67" s="28" t="s">
        <v>1020</v>
      </c>
      <c r="AJ67" s="18">
        <f>IF(AN67=0,K67,0)</f>
        <v>0</v>
      </c>
      <c r="AK67" s="18">
        <f>IF(AN67=15,K67,0)</f>
        <v>0</v>
      </c>
      <c r="AL67" s="18">
        <f>IF(AN67=21,K67,0)</f>
        <v>0</v>
      </c>
      <c r="AN67" s="34">
        <v>21</v>
      </c>
      <c r="AO67" s="34">
        <f>H67*0.469295837660781</f>
        <v>0</v>
      </c>
      <c r="AP67" s="34">
        <f>H67*(1-0.469295837660781)</f>
        <v>0</v>
      </c>
      <c r="AQ67" s="29" t="s">
        <v>6</v>
      </c>
      <c r="AV67" s="34">
        <f>AW67+AX67</f>
        <v>0</v>
      </c>
      <c r="AW67" s="34">
        <f>G67*AO67</f>
        <v>0</v>
      </c>
      <c r="AX67" s="34">
        <f>G67*AP67</f>
        <v>0</v>
      </c>
      <c r="AY67" s="35" t="s">
        <v>1032</v>
      </c>
      <c r="AZ67" s="35" t="s">
        <v>1066</v>
      </c>
      <c r="BA67" s="28" t="s">
        <v>1085</v>
      </c>
      <c r="BC67" s="34">
        <f>AW67+AX67</f>
        <v>0</v>
      </c>
      <c r="BD67" s="34">
        <f>H67/(100-BE67)*100</f>
        <v>0</v>
      </c>
      <c r="BE67" s="34">
        <v>0</v>
      </c>
      <c r="BF67" s="34">
        <f>67</f>
        <v>67</v>
      </c>
      <c r="BH67" s="18">
        <f>G67*AO67</f>
        <v>0</v>
      </c>
      <c r="BI67" s="18">
        <f>G67*AP67</f>
        <v>0</v>
      </c>
      <c r="BJ67" s="18">
        <f>G67*H67</f>
        <v>0</v>
      </c>
    </row>
    <row r="68" spans="3:7" ht="12.75">
      <c r="C68" s="101" t="s">
        <v>576</v>
      </c>
      <c r="D68" s="102"/>
      <c r="E68" s="102"/>
      <c r="G68" s="64">
        <v>4.928</v>
      </c>
    </row>
    <row r="69" spans="1:47" ht="12.75">
      <c r="A69" s="4"/>
      <c r="B69" s="14" t="s">
        <v>66</v>
      </c>
      <c r="C69" s="97" t="s">
        <v>578</v>
      </c>
      <c r="D69" s="98"/>
      <c r="E69" s="98"/>
      <c r="F69" s="4" t="s">
        <v>5</v>
      </c>
      <c r="G69" s="4" t="s">
        <v>5</v>
      </c>
      <c r="H69" s="4" t="s">
        <v>5</v>
      </c>
      <c r="I69" s="37">
        <f>SUM(I70:I70)</f>
        <v>0</v>
      </c>
      <c r="J69" s="37">
        <f>SUM(J70:J70)</f>
        <v>0</v>
      </c>
      <c r="K69" s="37">
        <f>SUM(K70:K70)</f>
        <v>0</v>
      </c>
      <c r="L69" s="28"/>
      <c r="AI69" s="28" t="s">
        <v>1020</v>
      </c>
      <c r="AS69" s="37">
        <f>SUM(AJ70:AJ70)</f>
        <v>0</v>
      </c>
      <c r="AT69" s="37">
        <f>SUM(AK70:AK70)</f>
        <v>0</v>
      </c>
      <c r="AU69" s="37">
        <f>SUM(AL70:AL70)</f>
        <v>0</v>
      </c>
    </row>
    <row r="70" spans="1:62" ht="12.75">
      <c r="A70" s="5" t="s">
        <v>29</v>
      </c>
      <c r="B70" s="5" t="s">
        <v>346</v>
      </c>
      <c r="C70" s="99" t="s">
        <v>579</v>
      </c>
      <c r="D70" s="100"/>
      <c r="E70" s="100"/>
      <c r="F70" s="5" t="s">
        <v>984</v>
      </c>
      <c r="G70" s="63">
        <v>0.402</v>
      </c>
      <c r="H70" s="18">
        <v>0</v>
      </c>
      <c r="I70" s="18">
        <f>G70*AO70</f>
        <v>0</v>
      </c>
      <c r="J70" s="18">
        <f>G70*AP70</f>
        <v>0</v>
      </c>
      <c r="K70" s="18">
        <f>G70*H70</f>
        <v>0</v>
      </c>
      <c r="L70" s="29"/>
      <c r="Z70" s="34">
        <f>IF(AQ70="5",BJ70,0)</f>
        <v>0</v>
      </c>
      <c r="AB70" s="34">
        <f>IF(AQ70="1",BH70,0)</f>
        <v>0</v>
      </c>
      <c r="AC70" s="34">
        <f>IF(AQ70="1",BI70,0)</f>
        <v>0</v>
      </c>
      <c r="AD70" s="34">
        <f>IF(AQ70="7",BH70,0)</f>
        <v>0</v>
      </c>
      <c r="AE70" s="34">
        <f>IF(AQ70="7",BI70,0)</f>
        <v>0</v>
      </c>
      <c r="AF70" s="34">
        <f>IF(AQ70="2",BH70,0)</f>
        <v>0</v>
      </c>
      <c r="AG70" s="34">
        <f>IF(AQ70="2",BI70,0)</f>
        <v>0</v>
      </c>
      <c r="AH70" s="34">
        <f>IF(AQ70="0",BJ70,0)</f>
        <v>0</v>
      </c>
      <c r="AI70" s="28" t="s">
        <v>1020</v>
      </c>
      <c r="AJ70" s="18">
        <f>IF(AN70=0,K70,0)</f>
        <v>0</v>
      </c>
      <c r="AK70" s="18">
        <f>IF(AN70=15,K70,0)</f>
        <v>0</v>
      </c>
      <c r="AL70" s="18">
        <f>IF(AN70=21,K70,0)</f>
        <v>0</v>
      </c>
      <c r="AN70" s="34">
        <v>21</v>
      </c>
      <c r="AO70" s="34">
        <f>H70*0.41275</f>
        <v>0</v>
      </c>
      <c r="AP70" s="34">
        <f>H70*(1-0.41275)</f>
        <v>0</v>
      </c>
      <c r="AQ70" s="29" t="s">
        <v>6</v>
      </c>
      <c r="AV70" s="34">
        <f>AW70+AX70</f>
        <v>0</v>
      </c>
      <c r="AW70" s="34">
        <f>G70*AO70</f>
        <v>0</v>
      </c>
      <c r="AX70" s="34">
        <f>G70*AP70</f>
        <v>0</v>
      </c>
      <c r="AY70" s="35" t="s">
        <v>1033</v>
      </c>
      <c r="AZ70" s="35" t="s">
        <v>1066</v>
      </c>
      <c r="BA70" s="28" t="s">
        <v>1085</v>
      </c>
      <c r="BC70" s="34">
        <f>AW70+AX70</f>
        <v>0</v>
      </c>
      <c r="BD70" s="34">
        <f>H70/(100-BE70)*100</f>
        <v>0</v>
      </c>
      <c r="BE70" s="34">
        <v>0</v>
      </c>
      <c r="BF70" s="34">
        <f>70</f>
        <v>70</v>
      </c>
      <c r="BH70" s="18">
        <f>G70*AO70</f>
        <v>0</v>
      </c>
      <c r="BI70" s="18">
        <f>G70*AP70</f>
        <v>0</v>
      </c>
      <c r="BJ70" s="18">
        <f>G70*H70</f>
        <v>0</v>
      </c>
    </row>
    <row r="71" spans="3:7" ht="12.75">
      <c r="C71" s="101" t="s">
        <v>580</v>
      </c>
      <c r="D71" s="102"/>
      <c r="E71" s="102"/>
      <c r="G71" s="64">
        <v>0.402</v>
      </c>
    </row>
    <row r="72" spans="1:47" ht="12.75">
      <c r="A72" s="4"/>
      <c r="B72" s="14" t="s">
        <v>67</v>
      </c>
      <c r="C72" s="97" t="s">
        <v>581</v>
      </c>
      <c r="D72" s="98"/>
      <c r="E72" s="98"/>
      <c r="F72" s="4" t="s">
        <v>5</v>
      </c>
      <c r="G72" s="4" t="s">
        <v>5</v>
      </c>
      <c r="H72" s="4" t="s">
        <v>5</v>
      </c>
      <c r="I72" s="37">
        <f>SUM(I73:I113)</f>
        <v>0</v>
      </c>
      <c r="J72" s="37">
        <f>SUM(J73:J113)</f>
        <v>0</v>
      </c>
      <c r="K72" s="37">
        <f>SUM(K73:K113)</f>
        <v>0</v>
      </c>
      <c r="L72" s="28"/>
      <c r="AI72" s="28" t="s">
        <v>1020</v>
      </c>
      <c r="AS72" s="37">
        <f>SUM(AJ73:AJ113)</f>
        <v>0</v>
      </c>
      <c r="AT72" s="37">
        <f>SUM(AK73:AK113)</f>
        <v>0</v>
      </c>
      <c r="AU72" s="37">
        <f>SUM(AL73:AL113)</f>
        <v>0</v>
      </c>
    </row>
    <row r="73" spans="1:62" ht="12.75">
      <c r="A73" s="5" t="s">
        <v>30</v>
      </c>
      <c r="B73" s="5" t="s">
        <v>347</v>
      </c>
      <c r="C73" s="99" t="s">
        <v>582</v>
      </c>
      <c r="D73" s="100"/>
      <c r="E73" s="100"/>
      <c r="F73" s="5" t="s">
        <v>984</v>
      </c>
      <c r="G73" s="63">
        <v>208.842</v>
      </c>
      <c r="H73" s="18">
        <v>0</v>
      </c>
      <c r="I73" s="18">
        <f>G73*AO73</f>
        <v>0</v>
      </c>
      <c r="J73" s="18">
        <f>G73*AP73</f>
        <v>0</v>
      </c>
      <c r="K73" s="18">
        <f>G73*H73</f>
        <v>0</v>
      </c>
      <c r="L73" s="29"/>
      <c r="Z73" s="34">
        <f>IF(AQ73="5",BJ73,0)</f>
        <v>0</v>
      </c>
      <c r="AB73" s="34">
        <f>IF(AQ73="1",BH73,0)</f>
        <v>0</v>
      </c>
      <c r="AC73" s="34">
        <f>IF(AQ73="1",BI73,0)</f>
        <v>0</v>
      </c>
      <c r="AD73" s="34">
        <f>IF(AQ73="7",BH73,0)</f>
        <v>0</v>
      </c>
      <c r="AE73" s="34">
        <f>IF(AQ73="7",BI73,0)</f>
        <v>0</v>
      </c>
      <c r="AF73" s="34">
        <f>IF(AQ73="2",BH73,0)</f>
        <v>0</v>
      </c>
      <c r="AG73" s="34">
        <f>IF(AQ73="2",BI73,0)</f>
        <v>0</v>
      </c>
      <c r="AH73" s="34">
        <f>IF(AQ73="0",BJ73,0)</f>
        <v>0</v>
      </c>
      <c r="AI73" s="28" t="s">
        <v>1020</v>
      </c>
      <c r="AJ73" s="18">
        <f>IF(AN73=0,K73,0)</f>
        <v>0</v>
      </c>
      <c r="AK73" s="18">
        <f>IF(AN73=15,K73,0)</f>
        <v>0</v>
      </c>
      <c r="AL73" s="18">
        <f>IF(AN73=21,K73,0)</f>
        <v>0</v>
      </c>
      <c r="AN73" s="34">
        <v>21</v>
      </c>
      <c r="AO73" s="34">
        <f>H73*0.494586077183261</f>
        <v>0</v>
      </c>
      <c r="AP73" s="34">
        <f>H73*(1-0.494586077183261)</f>
        <v>0</v>
      </c>
      <c r="AQ73" s="29" t="s">
        <v>6</v>
      </c>
      <c r="AV73" s="34">
        <f>AW73+AX73</f>
        <v>0</v>
      </c>
      <c r="AW73" s="34">
        <f>G73*AO73</f>
        <v>0</v>
      </c>
      <c r="AX73" s="34">
        <f>G73*AP73</f>
        <v>0</v>
      </c>
      <c r="AY73" s="35" t="s">
        <v>1034</v>
      </c>
      <c r="AZ73" s="35" t="s">
        <v>1066</v>
      </c>
      <c r="BA73" s="28" t="s">
        <v>1085</v>
      </c>
      <c r="BC73" s="34">
        <f>AW73+AX73</f>
        <v>0</v>
      </c>
      <c r="BD73" s="34">
        <f>H73/(100-BE73)*100</f>
        <v>0</v>
      </c>
      <c r="BE73" s="34">
        <v>0</v>
      </c>
      <c r="BF73" s="34">
        <f>73</f>
        <v>73</v>
      </c>
      <c r="BH73" s="18">
        <f>G73*AO73</f>
        <v>0</v>
      </c>
      <c r="BI73" s="18">
        <f>G73*AP73</f>
        <v>0</v>
      </c>
      <c r="BJ73" s="18">
        <f>G73*H73</f>
        <v>0</v>
      </c>
    </row>
    <row r="74" spans="3:7" ht="12.75">
      <c r="C74" s="101" t="s">
        <v>583</v>
      </c>
      <c r="D74" s="102"/>
      <c r="E74" s="102"/>
      <c r="G74" s="64">
        <v>162.855</v>
      </c>
    </row>
    <row r="75" spans="3:7" ht="12.75">
      <c r="C75" s="101" t="s">
        <v>584</v>
      </c>
      <c r="D75" s="102"/>
      <c r="E75" s="102"/>
      <c r="G75" s="64">
        <v>30.42</v>
      </c>
    </row>
    <row r="76" spans="3:7" ht="12.75">
      <c r="C76" s="101" t="s">
        <v>585</v>
      </c>
      <c r="D76" s="102"/>
      <c r="E76" s="102"/>
      <c r="G76" s="64">
        <v>54.4</v>
      </c>
    </row>
    <row r="77" spans="3:7" ht="12.75">
      <c r="C77" s="101" t="s">
        <v>586</v>
      </c>
      <c r="D77" s="102"/>
      <c r="E77" s="102"/>
      <c r="G77" s="64">
        <v>8.9</v>
      </c>
    </row>
    <row r="78" spans="3:7" ht="12.75">
      <c r="C78" s="101" t="s">
        <v>587</v>
      </c>
      <c r="D78" s="102"/>
      <c r="E78" s="102"/>
      <c r="G78" s="64">
        <v>-48.713</v>
      </c>
    </row>
    <row r="79" spans="3:7" ht="12.75">
      <c r="C79" s="101" t="s">
        <v>588</v>
      </c>
      <c r="D79" s="102"/>
      <c r="E79" s="102"/>
      <c r="G79" s="64">
        <v>0.98</v>
      </c>
    </row>
    <row r="80" spans="1:62" ht="12.75">
      <c r="A80" s="5" t="s">
        <v>31</v>
      </c>
      <c r="B80" s="5" t="s">
        <v>348</v>
      </c>
      <c r="C80" s="99" t="s">
        <v>589</v>
      </c>
      <c r="D80" s="100"/>
      <c r="E80" s="100"/>
      <c r="F80" s="5" t="s">
        <v>984</v>
      </c>
      <c r="G80" s="63">
        <v>13.118</v>
      </c>
      <c r="H80" s="18">
        <v>0</v>
      </c>
      <c r="I80" s="18">
        <f>G80*AO80</f>
        <v>0</v>
      </c>
      <c r="J80" s="18">
        <f>G80*AP80</f>
        <v>0</v>
      </c>
      <c r="K80" s="18">
        <f>G80*H80</f>
        <v>0</v>
      </c>
      <c r="L80" s="29"/>
      <c r="Z80" s="34">
        <f>IF(AQ80="5",BJ80,0)</f>
        <v>0</v>
      </c>
      <c r="AB80" s="34">
        <f>IF(AQ80="1",BH80,0)</f>
        <v>0</v>
      </c>
      <c r="AC80" s="34">
        <f>IF(AQ80="1",BI80,0)</f>
        <v>0</v>
      </c>
      <c r="AD80" s="34">
        <f>IF(AQ80="7",BH80,0)</f>
        <v>0</v>
      </c>
      <c r="AE80" s="34">
        <f>IF(AQ80="7",BI80,0)</f>
        <v>0</v>
      </c>
      <c r="AF80" s="34">
        <f>IF(AQ80="2",BH80,0)</f>
        <v>0</v>
      </c>
      <c r="AG80" s="34">
        <f>IF(AQ80="2",BI80,0)</f>
        <v>0</v>
      </c>
      <c r="AH80" s="34">
        <f>IF(AQ80="0",BJ80,0)</f>
        <v>0</v>
      </c>
      <c r="AI80" s="28" t="s">
        <v>1020</v>
      </c>
      <c r="AJ80" s="18">
        <f>IF(AN80=0,K80,0)</f>
        <v>0</v>
      </c>
      <c r="AK80" s="18">
        <f>IF(AN80=15,K80,0)</f>
        <v>0</v>
      </c>
      <c r="AL80" s="18">
        <f>IF(AN80=21,K80,0)</f>
        <v>0</v>
      </c>
      <c r="AN80" s="34">
        <v>21</v>
      </c>
      <c r="AO80" s="34">
        <f>H80*0.321657675341595</f>
        <v>0</v>
      </c>
      <c r="AP80" s="34">
        <f>H80*(1-0.321657675341595)</f>
        <v>0</v>
      </c>
      <c r="AQ80" s="29" t="s">
        <v>6</v>
      </c>
      <c r="AV80" s="34">
        <f>AW80+AX80</f>
        <v>0</v>
      </c>
      <c r="AW80" s="34">
        <f>G80*AO80</f>
        <v>0</v>
      </c>
      <c r="AX80" s="34">
        <f>G80*AP80</f>
        <v>0</v>
      </c>
      <c r="AY80" s="35" t="s">
        <v>1034</v>
      </c>
      <c r="AZ80" s="35" t="s">
        <v>1066</v>
      </c>
      <c r="BA80" s="28" t="s">
        <v>1085</v>
      </c>
      <c r="BC80" s="34">
        <f>AW80+AX80</f>
        <v>0</v>
      </c>
      <c r="BD80" s="34">
        <f>H80/(100-BE80)*100</f>
        <v>0</v>
      </c>
      <c r="BE80" s="34">
        <v>0</v>
      </c>
      <c r="BF80" s="34">
        <f>80</f>
        <v>80</v>
      </c>
      <c r="BH80" s="18">
        <f>G80*AO80</f>
        <v>0</v>
      </c>
      <c r="BI80" s="18">
        <f>G80*AP80</f>
        <v>0</v>
      </c>
      <c r="BJ80" s="18">
        <f>G80*H80</f>
        <v>0</v>
      </c>
    </row>
    <row r="81" spans="3:7" ht="12.75">
      <c r="C81" s="101" t="s">
        <v>590</v>
      </c>
      <c r="D81" s="102"/>
      <c r="E81" s="102"/>
      <c r="G81" s="64">
        <v>8.19</v>
      </c>
    </row>
    <row r="82" spans="3:7" ht="12.75">
      <c r="C82" s="101" t="s">
        <v>591</v>
      </c>
      <c r="D82" s="102"/>
      <c r="E82" s="102"/>
      <c r="G82" s="64">
        <v>4.928</v>
      </c>
    </row>
    <row r="83" spans="1:62" ht="12.75">
      <c r="A83" s="5" t="s">
        <v>32</v>
      </c>
      <c r="B83" s="5" t="s">
        <v>349</v>
      </c>
      <c r="C83" s="99" t="s">
        <v>592</v>
      </c>
      <c r="D83" s="100"/>
      <c r="E83" s="100"/>
      <c r="F83" s="5" t="s">
        <v>984</v>
      </c>
      <c r="G83" s="63">
        <v>32.571</v>
      </c>
      <c r="H83" s="18">
        <v>0</v>
      </c>
      <c r="I83" s="18">
        <f>G83*AO83</f>
        <v>0</v>
      </c>
      <c r="J83" s="18">
        <f>G83*AP83</f>
        <v>0</v>
      </c>
      <c r="K83" s="18">
        <f>G83*H83</f>
        <v>0</v>
      </c>
      <c r="L83" s="29"/>
      <c r="Z83" s="34">
        <f>IF(AQ83="5",BJ83,0)</f>
        <v>0</v>
      </c>
      <c r="AB83" s="34">
        <f>IF(AQ83="1",BH83,0)</f>
        <v>0</v>
      </c>
      <c r="AC83" s="34">
        <f>IF(AQ83="1",BI83,0)</f>
        <v>0</v>
      </c>
      <c r="AD83" s="34">
        <f>IF(AQ83="7",BH83,0)</f>
        <v>0</v>
      </c>
      <c r="AE83" s="34">
        <f>IF(AQ83="7",BI83,0)</f>
        <v>0</v>
      </c>
      <c r="AF83" s="34">
        <f>IF(AQ83="2",BH83,0)</f>
        <v>0</v>
      </c>
      <c r="AG83" s="34">
        <f>IF(AQ83="2",BI83,0)</f>
        <v>0</v>
      </c>
      <c r="AH83" s="34">
        <f>IF(AQ83="0",BJ83,0)</f>
        <v>0</v>
      </c>
      <c r="AI83" s="28" t="s">
        <v>1020</v>
      </c>
      <c r="AJ83" s="18">
        <f>IF(AN83=0,K83,0)</f>
        <v>0</v>
      </c>
      <c r="AK83" s="18">
        <f>IF(AN83=15,K83,0)</f>
        <v>0</v>
      </c>
      <c r="AL83" s="18">
        <f>IF(AN83=21,K83,0)</f>
        <v>0</v>
      </c>
      <c r="AN83" s="34">
        <v>21</v>
      </c>
      <c r="AO83" s="34">
        <f>H83*0.772833960065444</f>
        <v>0</v>
      </c>
      <c r="AP83" s="34">
        <f>H83*(1-0.772833960065444)</f>
        <v>0</v>
      </c>
      <c r="AQ83" s="29" t="s">
        <v>6</v>
      </c>
      <c r="AV83" s="34">
        <f>AW83+AX83</f>
        <v>0</v>
      </c>
      <c r="AW83" s="34">
        <f>G83*AO83</f>
        <v>0</v>
      </c>
      <c r="AX83" s="34">
        <f>G83*AP83</f>
        <v>0</v>
      </c>
      <c r="AY83" s="35" t="s">
        <v>1034</v>
      </c>
      <c r="AZ83" s="35" t="s">
        <v>1066</v>
      </c>
      <c r="BA83" s="28" t="s">
        <v>1085</v>
      </c>
      <c r="BC83" s="34">
        <f>AW83+AX83</f>
        <v>0</v>
      </c>
      <c r="BD83" s="34">
        <f>H83/(100-BE83)*100</f>
        <v>0</v>
      </c>
      <c r="BE83" s="34">
        <v>0</v>
      </c>
      <c r="BF83" s="34">
        <f>83</f>
        <v>83</v>
      </c>
      <c r="BH83" s="18">
        <f>G83*AO83</f>
        <v>0</v>
      </c>
      <c r="BI83" s="18">
        <f>G83*AP83</f>
        <v>0</v>
      </c>
      <c r="BJ83" s="18">
        <f>G83*H83</f>
        <v>0</v>
      </c>
    </row>
    <row r="84" spans="3:7" ht="12.75">
      <c r="C84" s="101" t="s">
        <v>593</v>
      </c>
      <c r="D84" s="102"/>
      <c r="E84" s="102"/>
      <c r="G84" s="64">
        <v>32.571</v>
      </c>
    </row>
    <row r="85" spans="1:62" ht="12.75">
      <c r="A85" s="5" t="s">
        <v>33</v>
      </c>
      <c r="B85" s="5" t="s">
        <v>350</v>
      </c>
      <c r="C85" s="99" t="s">
        <v>594</v>
      </c>
      <c r="D85" s="100"/>
      <c r="E85" s="100"/>
      <c r="F85" s="5" t="s">
        <v>984</v>
      </c>
      <c r="G85" s="63">
        <v>18.132</v>
      </c>
      <c r="H85" s="18">
        <v>0</v>
      </c>
      <c r="I85" s="18">
        <f>G85*AO85</f>
        <v>0</v>
      </c>
      <c r="J85" s="18">
        <f>G85*AP85</f>
        <v>0</v>
      </c>
      <c r="K85" s="18">
        <f>G85*H85</f>
        <v>0</v>
      </c>
      <c r="L85" s="29"/>
      <c r="Z85" s="34">
        <f>IF(AQ85="5",BJ85,0)</f>
        <v>0</v>
      </c>
      <c r="AB85" s="34">
        <f>IF(AQ85="1",BH85,0)</f>
        <v>0</v>
      </c>
      <c r="AC85" s="34">
        <f>IF(AQ85="1",BI85,0)</f>
        <v>0</v>
      </c>
      <c r="AD85" s="34">
        <f>IF(AQ85="7",BH85,0)</f>
        <v>0</v>
      </c>
      <c r="AE85" s="34">
        <f>IF(AQ85="7",BI85,0)</f>
        <v>0</v>
      </c>
      <c r="AF85" s="34">
        <f>IF(AQ85="2",BH85,0)</f>
        <v>0</v>
      </c>
      <c r="AG85" s="34">
        <f>IF(AQ85="2",BI85,0)</f>
        <v>0</v>
      </c>
      <c r="AH85" s="34">
        <f>IF(AQ85="0",BJ85,0)</f>
        <v>0</v>
      </c>
      <c r="AI85" s="28" t="s">
        <v>1020</v>
      </c>
      <c r="AJ85" s="18">
        <f>IF(AN85=0,K85,0)</f>
        <v>0</v>
      </c>
      <c r="AK85" s="18">
        <f>IF(AN85=15,K85,0)</f>
        <v>0</v>
      </c>
      <c r="AL85" s="18">
        <f>IF(AN85=21,K85,0)</f>
        <v>0</v>
      </c>
      <c r="AN85" s="34">
        <v>21</v>
      </c>
      <c r="AO85" s="34">
        <f>H85*0.665838465198494</f>
        <v>0</v>
      </c>
      <c r="AP85" s="34">
        <f>H85*(1-0.665838465198494)</f>
        <v>0</v>
      </c>
      <c r="AQ85" s="29" t="s">
        <v>6</v>
      </c>
      <c r="AV85" s="34">
        <f>AW85+AX85</f>
        <v>0</v>
      </c>
      <c r="AW85" s="34">
        <f>G85*AO85</f>
        <v>0</v>
      </c>
      <c r="AX85" s="34">
        <f>G85*AP85</f>
        <v>0</v>
      </c>
      <c r="AY85" s="35" t="s">
        <v>1034</v>
      </c>
      <c r="AZ85" s="35" t="s">
        <v>1066</v>
      </c>
      <c r="BA85" s="28" t="s">
        <v>1085</v>
      </c>
      <c r="BC85" s="34">
        <f>AW85+AX85</f>
        <v>0</v>
      </c>
      <c r="BD85" s="34">
        <f>H85/(100-BE85)*100</f>
        <v>0</v>
      </c>
      <c r="BE85" s="34">
        <v>0</v>
      </c>
      <c r="BF85" s="34">
        <f>85</f>
        <v>85</v>
      </c>
      <c r="BH85" s="18">
        <f>G85*AO85</f>
        <v>0</v>
      </c>
      <c r="BI85" s="18">
        <f>G85*AP85</f>
        <v>0</v>
      </c>
      <c r="BJ85" s="18">
        <f>G85*H85</f>
        <v>0</v>
      </c>
    </row>
    <row r="86" spans="3:7" ht="12.75">
      <c r="C86" s="101" t="s">
        <v>595</v>
      </c>
      <c r="D86" s="102"/>
      <c r="E86" s="102"/>
      <c r="G86" s="64">
        <v>18.132</v>
      </c>
    </row>
    <row r="87" spans="1:62" ht="12.75">
      <c r="A87" s="5" t="s">
        <v>34</v>
      </c>
      <c r="B87" s="5" t="s">
        <v>351</v>
      </c>
      <c r="C87" s="99" t="s">
        <v>596</v>
      </c>
      <c r="D87" s="100"/>
      <c r="E87" s="100"/>
      <c r="F87" s="5" t="s">
        <v>984</v>
      </c>
      <c r="G87" s="63">
        <v>26.827</v>
      </c>
      <c r="H87" s="18">
        <v>0</v>
      </c>
      <c r="I87" s="18">
        <f>G87*AO87</f>
        <v>0</v>
      </c>
      <c r="J87" s="18">
        <f>G87*AP87</f>
        <v>0</v>
      </c>
      <c r="K87" s="18">
        <f>G87*H87</f>
        <v>0</v>
      </c>
      <c r="L87" s="29"/>
      <c r="Z87" s="34">
        <f>IF(AQ87="5",BJ87,0)</f>
        <v>0</v>
      </c>
      <c r="AB87" s="34">
        <f>IF(AQ87="1",BH87,0)</f>
        <v>0</v>
      </c>
      <c r="AC87" s="34">
        <f>IF(AQ87="1",BI87,0)</f>
        <v>0</v>
      </c>
      <c r="AD87" s="34">
        <f>IF(AQ87="7",BH87,0)</f>
        <v>0</v>
      </c>
      <c r="AE87" s="34">
        <f>IF(AQ87="7",BI87,0)</f>
        <v>0</v>
      </c>
      <c r="AF87" s="34">
        <f>IF(AQ87="2",BH87,0)</f>
        <v>0</v>
      </c>
      <c r="AG87" s="34">
        <f>IF(AQ87="2",BI87,0)</f>
        <v>0</v>
      </c>
      <c r="AH87" s="34">
        <f>IF(AQ87="0",BJ87,0)</f>
        <v>0</v>
      </c>
      <c r="AI87" s="28" t="s">
        <v>1020</v>
      </c>
      <c r="AJ87" s="18">
        <f>IF(AN87=0,K87,0)</f>
        <v>0</v>
      </c>
      <c r="AK87" s="18">
        <f>IF(AN87=15,K87,0)</f>
        <v>0</v>
      </c>
      <c r="AL87" s="18">
        <f>IF(AN87=21,K87,0)</f>
        <v>0</v>
      </c>
      <c r="AN87" s="34">
        <v>21</v>
      </c>
      <c r="AO87" s="34">
        <f>H87*0.256923182165246</f>
        <v>0</v>
      </c>
      <c r="AP87" s="34">
        <f>H87*(1-0.256923182165246)</f>
        <v>0</v>
      </c>
      <c r="AQ87" s="29" t="s">
        <v>6</v>
      </c>
      <c r="AV87" s="34">
        <f>AW87+AX87</f>
        <v>0</v>
      </c>
      <c r="AW87" s="34">
        <f>G87*AO87</f>
        <v>0</v>
      </c>
      <c r="AX87" s="34">
        <f>G87*AP87</f>
        <v>0</v>
      </c>
      <c r="AY87" s="35" t="s">
        <v>1034</v>
      </c>
      <c r="AZ87" s="35" t="s">
        <v>1066</v>
      </c>
      <c r="BA87" s="28" t="s">
        <v>1085</v>
      </c>
      <c r="BC87" s="34">
        <f>AW87+AX87</f>
        <v>0</v>
      </c>
      <c r="BD87" s="34">
        <f>H87/(100-BE87)*100</f>
        <v>0</v>
      </c>
      <c r="BE87" s="34">
        <v>0</v>
      </c>
      <c r="BF87" s="34">
        <f>87</f>
        <v>87</v>
      </c>
      <c r="BH87" s="18">
        <f>G87*AO87</f>
        <v>0</v>
      </c>
      <c r="BI87" s="18">
        <f>G87*AP87</f>
        <v>0</v>
      </c>
      <c r="BJ87" s="18">
        <f>G87*H87</f>
        <v>0</v>
      </c>
    </row>
    <row r="88" spans="3:7" ht="12.75">
      <c r="C88" s="101" t="s">
        <v>597</v>
      </c>
      <c r="D88" s="102"/>
      <c r="E88" s="102"/>
      <c r="G88" s="64">
        <v>19.134</v>
      </c>
    </row>
    <row r="89" spans="3:7" ht="12.75">
      <c r="C89" s="101" t="s">
        <v>598</v>
      </c>
      <c r="D89" s="102"/>
      <c r="E89" s="102"/>
      <c r="G89" s="64">
        <v>7.693</v>
      </c>
    </row>
    <row r="90" spans="1:62" ht="12.75">
      <c r="A90" s="5" t="s">
        <v>35</v>
      </c>
      <c r="B90" s="5" t="s">
        <v>351</v>
      </c>
      <c r="C90" s="99" t="s">
        <v>599</v>
      </c>
      <c r="D90" s="100"/>
      <c r="E90" s="100"/>
      <c r="F90" s="5" t="s">
        <v>984</v>
      </c>
      <c r="G90" s="63">
        <v>7.6</v>
      </c>
      <c r="H90" s="18">
        <v>0</v>
      </c>
      <c r="I90" s="18">
        <f>G90*AO90</f>
        <v>0</v>
      </c>
      <c r="J90" s="18">
        <f>G90*AP90</f>
        <v>0</v>
      </c>
      <c r="K90" s="18">
        <f>G90*H90</f>
        <v>0</v>
      </c>
      <c r="L90" s="29"/>
      <c r="Z90" s="34">
        <f>IF(AQ90="5",BJ90,0)</f>
        <v>0</v>
      </c>
      <c r="AB90" s="34">
        <f>IF(AQ90="1",BH90,0)</f>
        <v>0</v>
      </c>
      <c r="AC90" s="34">
        <f>IF(AQ90="1",BI90,0)</f>
        <v>0</v>
      </c>
      <c r="AD90" s="34">
        <f>IF(AQ90="7",BH90,0)</f>
        <v>0</v>
      </c>
      <c r="AE90" s="34">
        <f>IF(AQ90="7",BI90,0)</f>
        <v>0</v>
      </c>
      <c r="AF90" s="34">
        <f>IF(AQ90="2",BH90,0)</f>
        <v>0</v>
      </c>
      <c r="AG90" s="34">
        <f>IF(AQ90="2",BI90,0)</f>
        <v>0</v>
      </c>
      <c r="AH90" s="34">
        <f>IF(AQ90="0",BJ90,0)</f>
        <v>0</v>
      </c>
      <c r="AI90" s="28" t="s">
        <v>1020</v>
      </c>
      <c r="AJ90" s="18">
        <f>IF(AN90=0,K90,0)</f>
        <v>0</v>
      </c>
      <c r="AK90" s="18">
        <f>IF(AN90=15,K90,0)</f>
        <v>0</v>
      </c>
      <c r="AL90" s="18">
        <f>IF(AN90=21,K90,0)</f>
        <v>0</v>
      </c>
      <c r="AN90" s="34">
        <v>21</v>
      </c>
      <c r="AO90" s="34">
        <f>H90*0.256923076923077</f>
        <v>0</v>
      </c>
      <c r="AP90" s="34">
        <f>H90*(1-0.256923076923077)</f>
        <v>0</v>
      </c>
      <c r="AQ90" s="29" t="s">
        <v>6</v>
      </c>
      <c r="AV90" s="34">
        <f>AW90+AX90</f>
        <v>0</v>
      </c>
      <c r="AW90" s="34">
        <f>G90*AO90</f>
        <v>0</v>
      </c>
      <c r="AX90" s="34">
        <f>G90*AP90</f>
        <v>0</v>
      </c>
      <c r="AY90" s="35" t="s">
        <v>1034</v>
      </c>
      <c r="AZ90" s="35" t="s">
        <v>1066</v>
      </c>
      <c r="BA90" s="28" t="s">
        <v>1085</v>
      </c>
      <c r="BC90" s="34">
        <f>AW90+AX90</f>
        <v>0</v>
      </c>
      <c r="BD90" s="34">
        <f>H90/(100-BE90)*100</f>
        <v>0</v>
      </c>
      <c r="BE90" s="34">
        <v>0</v>
      </c>
      <c r="BF90" s="34">
        <f>90</f>
        <v>90</v>
      </c>
      <c r="BH90" s="18">
        <f>G90*AO90</f>
        <v>0</v>
      </c>
      <c r="BI90" s="18">
        <f>G90*AP90</f>
        <v>0</v>
      </c>
      <c r="BJ90" s="18">
        <f>G90*H90</f>
        <v>0</v>
      </c>
    </row>
    <row r="91" spans="3:7" ht="12.75">
      <c r="C91" s="101" t="s">
        <v>600</v>
      </c>
      <c r="D91" s="102"/>
      <c r="E91" s="102"/>
      <c r="G91" s="64">
        <v>7.6</v>
      </c>
    </row>
    <row r="92" spans="1:62" ht="12.75">
      <c r="A92" s="5" t="s">
        <v>36</v>
      </c>
      <c r="B92" s="5" t="s">
        <v>352</v>
      </c>
      <c r="C92" s="99" t="s">
        <v>601</v>
      </c>
      <c r="D92" s="100"/>
      <c r="E92" s="100"/>
      <c r="F92" s="5" t="s">
        <v>984</v>
      </c>
      <c r="G92" s="63">
        <v>48.713</v>
      </c>
      <c r="H92" s="18">
        <v>0</v>
      </c>
      <c r="I92" s="18">
        <f>G92*AO92</f>
        <v>0</v>
      </c>
      <c r="J92" s="18">
        <f>G92*AP92</f>
        <v>0</v>
      </c>
      <c r="K92" s="18">
        <f>G92*H92</f>
        <v>0</v>
      </c>
      <c r="L92" s="29"/>
      <c r="Z92" s="34">
        <f>IF(AQ92="5",BJ92,0)</f>
        <v>0</v>
      </c>
      <c r="AB92" s="34">
        <f>IF(AQ92="1",BH92,0)</f>
        <v>0</v>
      </c>
      <c r="AC92" s="34">
        <f>IF(AQ92="1",BI92,0)</f>
        <v>0</v>
      </c>
      <c r="AD92" s="34">
        <f>IF(AQ92="7",BH92,0)</f>
        <v>0</v>
      </c>
      <c r="AE92" s="34">
        <f>IF(AQ92="7",BI92,0)</f>
        <v>0</v>
      </c>
      <c r="AF92" s="34">
        <f>IF(AQ92="2",BH92,0)</f>
        <v>0</v>
      </c>
      <c r="AG92" s="34">
        <f>IF(AQ92="2",BI92,0)</f>
        <v>0</v>
      </c>
      <c r="AH92" s="34">
        <f>IF(AQ92="0",BJ92,0)</f>
        <v>0</v>
      </c>
      <c r="AI92" s="28" t="s">
        <v>1020</v>
      </c>
      <c r="AJ92" s="18">
        <f>IF(AN92=0,K92,0)</f>
        <v>0</v>
      </c>
      <c r="AK92" s="18">
        <f>IF(AN92=15,K92,0)</f>
        <v>0</v>
      </c>
      <c r="AL92" s="18">
        <f>IF(AN92=21,K92,0)</f>
        <v>0</v>
      </c>
      <c r="AN92" s="34">
        <v>21</v>
      </c>
      <c r="AO92" s="34">
        <f>H92*0.303620558169346</f>
        <v>0</v>
      </c>
      <c r="AP92" s="34">
        <f>H92*(1-0.303620558169346)</f>
        <v>0</v>
      </c>
      <c r="AQ92" s="29" t="s">
        <v>6</v>
      </c>
      <c r="AV92" s="34">
        <f>AW92+AX92</f>
        <v>0</v>
      </c>
      <c r="AW92" s="34">
        <f>G92*AO92</f>
        <v>0</v>
      </c>
      <c r="AX92" s="34">
        <f>G92*AP92</f>
        <v>0</v>
      </c>
      <c r="AY92" s="35" t="s">
        <v>1034</v>
      </c>
      <c r="AZ92" s="35" t="s">
        <v>1066</v>
      </c>
      <c r="BA92" s="28" t="s">
        <v>1085</v>
      </c>
      <c r="BC92" s="34">
        <f>AW92+AX92</f>
        <v>0</v>
      </c>
      <c r="BD92" s="34">
        <f>H92/(100-BE92)*100</f>
        <v>0</v>
      </c>
      <c r="BE92" s="34">
        <v>0</v>
      </c>
      <c r="BF92" s="34">
        <f>92</f>
        <v>92</v>
      </c>
      <c r="BH92" s="18">
        <f>G92*AO92</f>
        <v>0</v>
      </c>
      <c r="BI92" s="18">
        <f>G92*AP92</f>
        <v>0</v>
      </c>
      <c r="BJ92" s="18">
        <f>G92*H92</f>
        <v>0</v>
      </c>
    </row>
    <row r="93" spans="3:7" ht="12.75">
      <c r="C93" s="101" t="s">
        <v>602</v>
      </c>
      <c r="D93" s="102"/>
      <c r="E93" s="102"/>
      <c r="G93" s="64">
        <v>48.713</v>
      </c>
    </row>
    <row r="94" spans="1:62" ht="12.75">
      <c r="A94" s="5" t="s">
        <v>37</v>
      </c>
      <c r="B94" s="5" t="s">
        <v>353</v>
      </c>
      <c r="C94" s="99" t="s">
        <v>603</v>
      </c>
      <c r="D94" s="100"/>
      <c r="E94" s="100"/>
      <c r="F94" s="5" t="s">
        <v>986</v>
      </c>
      <c r="G94" s="63">
        <v>220.18</v>
      </c>
      <c r="H94" s="18">
        <v>0</v>
      </c>
      <c r="I94" s="18">
        <f>G94*AO94</f>
        <v>0</v>
      </c>
      <c r="J94" s="18">
        <f>G94*AP94</f>
        <v>0</v>
      </c>
      <c r="K94" s="18">
        <f>G94*H94</f>
        <v>0</v>
      </c>
      <c r="L94" s="29"/>
      <c r="Z94" s="34">
        <f>IF(AQ94="5",BJ94,0)</f>
        <v>0</v>
      </c>
      <c r="AB94" s="34">
        <f>IF(AQ94="1",BH94,0)</f>
        <v>0</v>
      </c>
      <c r="AC94" s="34">
        <f>IF(AQ94="1",BI94,0)</f>
        <v>0</v>
      </c>
      <c r="AD94" s="34">
        <f>IF(AQ94="7",BH94,0)</f>
        <v>0</v>
      </c>
      <c r="AE94" s="34">
        <f>IF(AQ94="7",BI94,0)</f>
        <v>0</v>
      </c>
      <c r="AF94" s="34">
        <f>IF(AQ94="2",BH94,0)</f>
        <v>0</v>
      </c>
      <c r="AG94" s="34">
        <f>IF(AQ94="2",BI94,0)</f>
        <v>0</v>
      </c>
      <c r="AH94" s="34">
        <f>IF(AQ94="0",BJ94,0)</f>
        <v>0</v>
      </c>
      <c r="AI94" s="28" t="s">
        <v>1020</v>
      </c>
      <c r="AJ94" s="18">
        <f>IF(AN94=0,K94,0)</f>
        <v>0</v>
      </c>
      <c r="AK94" s="18">
        <f>IF(AN94=15,K94,0)</f>
        <v>0</v>
      </c>
      <c r="AL94" s="18">
        <f>IF(AN94=21,K94,0)</f>
        <v>0</v>
      </c>
      <c r="AN94" s="34">
        <v>21</v>
      </c>
      <c r="AO94" s="34">
        <f>H94*0.275713283125877</f>
        <v>0</v>
      </c>
      <c r="AP94" s="34">
        <f>H94*(1-0.275713283125877)</f>
        <v>0</v>
      </c>
      <c r="AQ94" s="29" t="s">
        <v>6</v>
      </c>
      <c r="AV94" s="34">
        <f>AW94+AX94</f>
        <v>0</v>
      </c>
      <c r="AW94" s="34">
        <f>G94*AO94</f>
        <v>0</v>
      </c>
      <c r="AX94" s="34">
        <f>G94*AP94</f>
        <v>0</v>
      </c>
      <c r="AY94" s="35" t="s">
        <v>1034</v>
      </c>
      <c r="AZ94" s="35" t="s">
        <v>1066</v>
      </c>
      <c r="BA94" s="28" t="s">
        <v>1085</v>
      </c>
      <c r="BC94" s="34">
        <f>AW94+AX94</f>
        <v>0</v>
      </c>
      <c r="BD94" s="34">
        <f>H94/(100-BE94)*100</f>
        <v>0</v>
      </c>
      <c r="BE94" s="34">
        <v>0</v>
      </c>
      <c r="BF94" s="34">
        <f>94</f>
        <v>94</v>
      </c>
      <c r="BH94" s="18">
        <f>G94*AO94</f>
        <v>0</v>
      </c>
      <c r="BI94" s="18">
        <f>G94*AP94</f>
        <v>0</v>
      </c>
      <c r="BJ94" s="18">
        <f>G94*H94</f>
        <v>0</v>
      </c>
    </row>
    <row r="95" spans="3:7" ht="12.75">
      <c r="C95" s="101" t="s">
        <v>604</v>
      </c>
      <c r="D95" s="102"/>
      <c r="E95" s="102"/>
      <c r="G95" s="64">
        <v>24.35</v>
      </c>
    </row>
    <row r="96" spans="3:7" ht="12.75">
      <c r="C96" s="101" t="s">
        <v>605</v>
      </c>
      <c r="D96" s="102"/>
      <c r="E96" s="102"/>
      <c r="G96" s="64">
        <v>195.83</v>
      </c>
    </row>
    <row r="97" spans="1:62" ht="12.75">
      <c r="A97" s="5" t="s">
        <v>38</v>
      </c>
      <c r="B97" s="5" t="s">
        <v>354</v>
      </c>
      <c r="C97" s="99" t="s">
        <v>606</v>
      </c>
      <c r="D97" s="100"/>
      <c r="E97" s="100"/>
      <c r="F97" s="5" t="s">
        <v>986</v>
      </c>
      <c r="G97" s="63">
        <v>62.5</v>
      </c>
      <c r="H97" s="18">
        <v>0</v>
      </c>
      <c r="I97" s="18">
        <f>G97*AO97</f>
        <v>0</v>
      </c>
      <c r="J97" s="18">
        <f>G97*AP97</f>
        <v>0</v>
      </c>
      <c r="K97" s="18">
        <f>G97*H97</f>
        <v>0</v>
      </c>
      <c r="L97" s="29"/>
      <c r="Z97" s="34">
        <f>IF(AQ97="5",BJ97,0)</f>
        <v>0</v>
      </c>
      <c r="AB97" s="34">
        <f>IF(AQ97="1",BH97,0)</f>
        <v>0</v>
      </c>
      <c r="AC97" s="34">
        <f>IF(AQ97="1",BI97,0)</f>
        <v>0</v>
      </c>
      <c r="AD97" s="34">
        <f>IF(AQ97="7",BH97,0)</f>
        <v>0</v>
      </c>
      <c r="AE97" s="34">
        <f>IF(AQ97="7",BI97,0)</f>
        <v>0</v>
      </c>
      <c r="AF97" s="34">
        <f>IF(AQ97="2",BH97,0)</f>
        <v>0</v>
      </c>
      <c r="AG97" s="34">
        <f>IF(AQ97="2",BI97,0)</f>
        <v>0</v>
      </c>
      <c r="AH97" s="34">
        <f>IF(AQ97="0",BJ97,0)</f>
        <v>0</v>
      </c>
      <c r="AI97" s="28" t="s">
        <v>1020</v>
      </c>
      <c r="AJ97" s="18">
        <f>IF(AN97=0,K97,0)</f>
        <v>0</v>
      </c>
      <c r="AK97" s="18">
        <f>IF(AN97=15,K97,0)</f>
        <v>0</v>
      </c>
      <c r="AL97" s="18">
        <f>IF(AN97=21,K97,0)</f>
        <v>0</v>
      </c>
      <c r="AN97" s="34">
        <v>21</v>
      </c>
      <c r="AO97" s="34">
        <f>H97*0.246344005445133</f>
        <v>0</v>
      </c>
      <c r="AP97" s="34">
        <f>H97*(1-0.246344005445133)</f>
        <v>0</v>
      </c>
      <c r="AQ97" s="29" t="s">
        <v>6</v>
      </c>
      <c r="AV97" s="34">
        <f>AW97+AX97</f>
        <v>0</v>
      </c>
      <c r="AW97" s="34">
        <f>G97*AO97</f>
        <v>0</v>
      </c>
      <c r="AX97" s="34">
        <f>G97*AP97</f>
        <v>0</v>
      </c>
      <c r="AY97" s="35" t="s">
        <v>1034</v>
      </c>
      <c r="AZ97" s="35" t="s">
        <v>1066</v>
      </c>
      <c r="BA97" s="28" t="s">
        <v>1085</v>
      </c>
      <c r="BC97" s="34">
        <f>AW97+AX97</f>
        <v>0</v>
      </c>
      <c r="BD97" s="34">
        <f>H97/(100-BE97)*100</f>
        <v>0</v>
      </c>
      <c r="BE97" s="34">
        <v>0</v>
      </c>
      <c r="BF97" s="34">
        <f>97</f>
        <v>97</v>
      </c>
      <c r="BH97" s="18">
        <f>G97*AO97</f>
        <v>0</v>
      </c>
      <c r="BI97" s="18">
        <f>G97*AP97</f>
        <v>0</v>
      </c>
      <c r="BJ97" s="18">
        <f>G97*H97</f>
        <v>0</v>
      </c>
    </row>
    <row r="98" spans="3:7" ht="12.75">
      <c r="C98" s="101" t="s">
        <v>607</v>
      </c>
      <c r="D98" s="102"/>
      <c r="E98" s="102"/>
      <c r="G98" s="64">
        <v>62.5</v>
      </c>
    </row>
    <row r="99" spans="1:62" ht="12.75">
      <c r="A99" s="5" t="s">
        <v>39</v>
      </c>
      <c r="B99" s="5" t="s">
        <v>355</v>
      </c>
      <c r="C99" s="99" t="s">
        <v>608</v>
      </c>
      <c r="D99" s="100"/>
      <c r="E99" s="100"/>
      <c r="F99" s="5" t="s">
        <v>986</v>
      </c>
      <c r="G99" s="63">
        <v>24.35</v>
      </c>
      <c r="H99" s="18">
        <v>0</v>
      </c>
      <c r="I99" s="18">
        <f>G99*AO99</f>
        <v>0</v>
      </c>
      <c r="J99" s="18">
        <f>G99*AP99</f>
        <v>0</v>
      </c>
      <c r="K99" s="18">
        <f>G99*H99</f>
        <v>0</v>
      </c>
      <c r="L99" s="29"/>
      <c r="Z99" s="34">
        <f>IF(AQ99="5",BJ99,0)</f>
        <v>0</v>
      </c>
      <c r="AB99" s="34">
        <f>IF(AQ99="1",BH99,0)</f>
        <v>0</v>
      </c>
      <c r="AC99" s="34">
        <f>IF(AQ99="1",BI99,0)</f>
        <v>0</v>
      </c>
      <c r="AD99" s="34">
        <f>IF(AQ99="7",BH99,0)</f>
        <v>0</v>
      </c>
      <c r="AE99" s="34">
        <f>IF(AQ99="7",BI99,0)</f>
        <v>0</v>
      </c>
      <c r="AF99" s="34">
        <f>IF(AQ99="2",BH99,0)</f>
        <v>0</v>
      </c>
      <c r="AG99" s="34">
        <f>IF(AQ99="2",BI99,0)</f>
        <v>0</v>
      </c>
      <c r="AH99" s="34">
        <f>IF(AQ99="0",BJ99,0)</f>
        <v>0</v>
      </c>
      <c r="AI99" s="28" t="s">
        <v>1020</v>
      </c>
      <c r="AJ99" s="18">
        <f>IF(AN99=0,K99,0)</f>
        <v>0</v>
      </c>
      <c r="AK99" s="18">
        <f>IF(AN99=15,K99,0)</f>
        <v>0</v>
      </c>
      <c r="AL99" s="18">
        <f>IF(AN99=21,K99,0)</f>
        <v>0</v>
      </c>
      <c r="AN99" s="34">
        <v>21</v>
      </c>
      <c r="AO99" s="34">
        <f>H99*0.274904098281053</f>
        <v>0</v>
      </c>
      <c r="AP99" s="34">
        <f>H99*(1-0.274904098281053)</f>
        <v>0</v>
      </c>
      <c r="AQ99" s="29" t="s">
        <v>6</v>
      </c>
      <c r="AV99" s="34">
        <f>AW99+AX99</f>
        <v>0</v>
      </c>
      <c r="AW99" s="34">
        <f>G99*AO99</f>
        <v>0</v>
      </c>
      <c r="AX99" s="34">
        <f>G99*AP99</f>
        <v>0</v>
      </c>
      <c r="AY99" s="35" t="s">
        <v>1034</v>
      </c>
      <c r="AZ99" s="35" t="s">
        <v>1066</v>
      </c>
      <c r="BA99" s="28" t="s">
        <v>1085</v>
      </c>
      <c r="BC99" s="34">
        <f>AW99+AX99</f>
        <v>0</v>
      </c>
      <c r="BD99" s="34">
        <f>H99/(100-BE99)*100</f>
        <v>0</v>
      </c>
      <c r="BE99" s="34">
        <v>0</v>
      </c>
      <c r="BF99" s="34">
        <f>99</f>
        <v>99</v>
      </c>
      <c r="BH99" s="18">
        <f>G99*AO99</f>
        <v>0</v>
      </c>
      <c r="BI99" s="18">
        <f>G99*AP99</f>
        <v>0</v>
      </c>
      <c r="BJ99" s="18">
        <f>G99*H99</f>
        <v>0</v>
      </c>
    </row>
    <row r="100" spans="3:7" ht="12.75">
      <c r="C100" s="101" t="s">
        <v>609</v>
      </c>
      <c r="D100" s="102"/>
      <c r="E100" s="102"/>
      <c r="G100" s="64">
        <v>24.35</v>
      </c>
    </row>
    <row r="101" spans="1:62" ht="12.75">
      <c r="A101" s="5" t="s">
        <v>40</v>
      </c>
      <c r="B101" s="5" t="s">
        <v>356</v>
      </c>
      <c r="C101" s="99" t="s">
        <v>610</v>
      </c>
      <c r="D101" s="100"/>
      <c r="E101" s="100"/>
      <c r="F101" s="5" t="s">
        <v>984</v>
      </c>
      <c r="G101" s="63">
        <v>240.092</v>
      </c>
      <c r="H101" s="18">
        <v>0</v>
      </c>
      <c r="I101" s="18">
        <f>G101*AO101</f>
        <v>0</v>
      </c>
      <c r="J101" s="18">
        <f>G101*AP101</f>
        <v>0</v>
      </c>
      <c r="K101" s="18">
        <f>G101*H101</f>
        <v>0</v>
      </c>
      <c r="L101" s="29"/>
      <c r="Z101" s="34">
        <f>IF(AQ101="5",BJ101,0)</f>
        <v>0</v>
      </c>
      <c r="AB101" s="34">
        <f>IF(AQ101="1",BH101,0)</f>
        <v>0</v>
      </c>
      <c r="AC101" s="34">
        <f>IF(AQ101="1",BI101,0)</f>
        <v>0</v>
      </c>
      <c r="AD101" s="34">
        <f>IF(AQ101="7",BH101,0)</f>
        <v>0</v>
      </c>
      <c r="AE101" s="34">
        <f>IF(AQ101="7",BI101,0)</f>
        <v>0</v>
      </c>
      <c r="AF101" s="34">
        <f>IF(AQ101="2",BH101,0)</f>
        <v>0</v>
      </c>
      <c r="AG101" s="34">
        <f>IF(AQ101="2",BI101,0)</f>
        <v>0</v>
      </c>
      <c r="AH101" s="34">
        <f>IF(AQ101="0",BJ101,0)</f>
        <v>0</v>
      </c>
      <c r="AI101" s="28" t="s">
        <v>1020</v>
      </c>
      <c r="AJ101" s="18">
        <f>IF(AN101=0,K101,0)</f>
        <v>0</v>
      </c>
      <c r="AK101" s="18">
        <f>IF(AN101=15,K101,0)</f>
        <v>0</v>
      </c>
      <c r="AL101" s="18">
        <f>IF(AN101=21,K101,0)</f>
        <v>0</v>
      </c>
      <c r="AN101" s="34">
        <v>21</v>
      </c>
      <c r="AO101" s="34">
        <f>H101*0.0683693673347146</f>
        <v>0</v>
      </c>
      <c r="AP101" s="34">
        <f>H101*(1-0.0683693673347146)</f>
        <v>0</v>
      </c>
      <c r="AQ101" s="29" t="s">
        <v>6</v>
      </c>
      <c r="AV101" s="34">
        <f>AW101+AX101</f>
        <v>0</v>
      </c>
      <c r="AW101" s="34">
        <f>G101*AO101</f>
        <v>0</v>
      </c>
      <c r="AX101" s="34">
        <f>G101*AP101</f>
        <v>0</v>
      </c>
      <c r="AY101" s="35" t="s">
        <v>1034</v>
      </c>
      <c r="AZ101" s="35" t="s">
        <v>1066</v>
      </c>
      <c r="BA101" s="28" t="s">
        <v>1085</v>
      </c>
      <c r="BC101" s="34">
        <f>AW101+AX101</f>
        <v>0</v>
      </c>
      <c r="BD101" s="34">
        <f>H101/(100-BE101)*100</f>
        <v>0</v>
      </c>
      <c r="BE101" s="34">
        <v>0</v>
      </c>
      <c r="BF101" s="34">
        <f>101</f>
        <v>101</v>
      </c>
      <c r="BH101" s="18">
        <f>G101*AO101</f>
        <v>0</v>
      </c>
      <c r="BI101" s="18">
        <f>G101*AP101</f>
        <v>0</v>
      </c>
      <c r="BJ101" s="18">
        <f>G101*H101</f>
        <v>0</v>
      </c>
    </row>
    <row r="102" spans="3:7" ht="12.75">
      <c r="C102" s="101" t="s">
        <v>611</v>
      </c>
      <c r="D102" s="102"/>
      <c r="E102" s="102"/>
      <c r="G102" s="64">
        <v>240.092</v>
      </c>
    </row>
    <row r="103" spans="1:62" ht="12.75">
      <c r="A103" s="5" t="s">
        <v>41</v>
      </c>
      <c r="B103" s="5" t="s">
        <v>357</v>
      </c>
      <c r="C103" s="99" t="s">
        <v>612</v>
      </c>
      <c r="D103" s="100"/>
      <c r="E103" s="100"/>
      <c r="F103" s="5" t="s">
        <v>986</v>
      </c>
      <c r="G103" s="63">
        <v>11.4</v>
      </c>
      <c r="H103" s="18">
        <v>0</v>
      </c>
      <c r="I103" s="18">
        <f>G103*AO103</f>
        <v>0</v>
      </c>
      <c r="J103" s="18">
        <f>G103*AP103</f>
        <v>0</v>
      </c>
      <c r="K103" s="18">
        <f>G103*H103</f>
        <v>0</v>
      </c>
      <c r="L103" s="29"/>
      <c r="Z103" s="34">
        <f>IF(AQ103="5",BJ103,0)</f>
        <v>0</v>
      </c>
      <c r="AB103" s="34">
        <f>IF(AQ103="1",BH103,0)</f>
        <v>0</v>
      </c>
      <c r="AC103" s="34">
        <f>IF(AQ103="1",BI103,0)</f>
        <v>0</v>
      </c>
      <c r="AD103" s="34">
        <f>IF(AQ103="7",BH103,0)</f>
        <v>0</v>
      </c>
      <c r="AE103" s="34">
        <f>IF(AQ103="7",BI103,0)</f>
        <v>0</v>
      </c>
      <c r="AF103" s="34">
        <f>IF(AQ103="2",BH103,0)</f>
        <v>0</v>
      </c>
      <c r="AG103" s="34">
        <f>IF(AQ103="2",BI103,0)</f>
        <v>0</v>
      </c>
      <c r="AH103" s="34">
        <f>IF(AQ103="0",BJ103,0)</f>
        <v>0</v>
      </c>
      <c r="AI103" s="28" t="s">
        <v>1020</v>
      </c>
      <c r="AJ103" s="18">
        <f>IF(AN103=0,K103,0)</f>
        <v>0</v>
      </c>
      <c r="AK103" s="18">
        <f>IF(AN103=15,K103,0)</f>
        <v>0</v>
      </c>
      <c r="AL103" s="18">
        <f>IF(AN103=21,K103,0)</f>
        <v>0</v>
      </c>
      <c r="AN103" s="34">
        <v>21</v>
      </c>
      <c r="AO103" s="34">
        <f>H103*0.733624288425047</f>
        <v>0</v>
      </c>
      <c r="AP103" s="34">
        <f>H103*(1-0.733624288425047)</f>
        <v>0</v>
      </c>
      <c r="AQ103" s="29" t="s">
        <v>6</v>
      </c>
      <c r="AV103" s="34">
        <f>AW103+AX103</f>
        <v>0</v>
      </c>
      <c r="AW103" s="34">
        <f>G103*AO103</f>
        <v>0</v>
      </c>
      <c r="AX103" s="34">
        <f>G103*AP103</f>
        <v>0</v>
      </c>
      <c r="AY103" s="35" t="s">
        <v>1034</v>
      </c>
      <c r="AZ103" s="35" t="s">
        <v>1066</v>
      </c>
      <c r="BA103" s="28" t="s">
        <v>1085</v>
      </c>
      <c r="BC103" s="34">
        <f>AW103+AX103</f>
        <v>0</v>
      </c>
      <c r="BD103" s="34">
        <f>H103/(100-BE103)*100</f>
        <v>0</v>
      </c>
      <c r="BE103" s="34">
        <v>0</v>
      </c>
      <c r="BF103" s="34">
        <f>103</f>
        <v>103</v>
      </c>
      <c r="BH103" s="18">
        <f>G103*AO103</f>
        <v>0</v>
      </c>
      <c r="BI103" s="18">
        <f>G103*AP103</f>
        <v>0</v>
      </c>
      <c r="BJ103" s="18">
        <f>G103*H103</f>
        <v>0</v>
      </c>
    </row>
    <row r="104" spans="3:7" ht="12.75">
      <c r="C104" s="101" t="s">
        <v>613</v>
      </c>
      <c r="D104" s="102"/>
      <c r="E104" s="102"/>
      <c r="G104" s="64">
        <v>11.4</v>
      </c>
    </row>
    <row r="105" spans="1:62" ht="12.75">
      <c r="A105" s="5" t="s">
        <v>42</v>
      </c>
      <c r="B105" s="5" t="s">
        <v>358</v>
      </c>
      <c r="C105" s="99" t="s">
        <v>614</v>
      </c>
      <c r="D105" s="100"/>
      <c r="E105" s="100"/>
      <c r="F105" s="5" t="s">
        <v>984</v>
      </c>
      <c r="G105" s="63">
        <v>266.919</v>
      </c>
      <c r="H105" s="18">
        <v>0</v>
      </c>
      <c r="I105" s="18">
        <f>G105*AO105</f>
        <v>0</v>
      </c>
      <c r="J105" s="18">
        <f>G105*AP105</f>
        <v>0</v>
      </c>
      <c r="K105" s="18">
        <f>G105*H105</f>
        <v>0</v>
      </c>
      <c r="L105" s="29"/>
      <c r="Z105" s="34">
        <f>IF(AQ105="5",BJ105,0)</f>
        <v>0</v>
      </c>
      <c r="AB105" s="34">
        <f>IF(AQ105="1",BH105,0)</f>
        <v>0</v>
      </c>
      <c r="AC105" s="34">
        <f>IF(AQ105="1",BI105,0)</f>
        <v>0</v>
      </c>
      <c r="AD105" s="34">
        <f>IF(AQ105="7",BH105,0)</f>
        <v>0</v>
      </c>
      <c r="AE105" s="34">
        <f>IF(AQ105="7",BI105,0)</f>
        <v>0</v>
      </c>
      <c r="AF105" s="34">
        <f>IF(AQ105="2",BH105,0)</f>
        <v>0</v>
      </c>
      <c r="AG105" s="34">
        <f>IF(AQ105="2",BI105,0)</f>
        <v>0</v>
      </c>
      <c r="AH105" s="34">
        <f>IF(AQ105="0",BJ105,0)</f>
        <v>0</v>
      </c>
      <c r="AI105" s="28" t="s">
        <v>1020</v>
      </c>
      <c r="AJ105" s="18">
        <f>IF(AN105=0,K105,0)</f>
        <v>0</v>
      </c>
      <c r="AK105" s="18">
        <f>IF(AN105=15,K105,0)</f>
        <v>0</v>
      </c>
      <c r="AL105" s="18">
        <f>IF(AN105=21,K105,0)</f>
        <v>0</v>
      </c>
      <c r="AN105" s="34">
        <v>21</v>
      </c>
      <c r="AO105" s="34">
        <f>H105*0.268518470614121</f>
        <v>0</v>
      </c>
      <c r="AP105" s="34">
        <f>H105*(1-0.268518470614121)</f>
        <v>0</v>
      </c>
      <c r="AQ105" s="29" t="s">
        <v>6</v>
      </c>
      <c r="AV105" s="34">
        <f>AW105+AX105</f>
        <v>0</v>
      </c>
      <c r="AW105" s="34">
        <f>G105*AO105</f>
        <v>0</v>
      </c>
      <c r="AX105" s="34">
        <f>G105*AP105</f>
        <v>0</v>
      </c>
      <c r="AY105" s="35" t="s">
        <v>1034</v>
      </c>
      <c r="AZ105" s="35" t="s">
        <v>1066</v>
      </c>
      <c r="BA105" s="28" t="s">
        <v>1085</v>
      </c>
      <c r="BC105" s="34">
        <f>AW105+AX105</f>
        <v>0</v>
      </c>
      <c r="BD105" s="34">
        <f>H105/(100-BE105)*100</f>
        <v>0</v>
      </c>
      <c r="BE105" s="34">
        <v>0</v>
      </c>
      <c r="BF105" s="34">
        <f>105</f>
        <v>105</v>
      </c>
      <c r="BH105" s="18">
        <f>G105*AO105</f>
        <v>0</v>
      </c>
      <c r="BI105" s="18">
        <f>G105*AP105</f>
        <v>0</v>
      </c>
      <c r="BJ105" s="18">
        <f>G105*H105</f>
        <v>0</v>
      </c>
    </row>
    <row r="106" spans="3:7" ht="12.75">
      <c r="C106" s="101" t="s">
        <v>615</v>
      </c>
      <c r="D106" s="102"/>
      <c r="E106" s="102"/>
      <c r="G106" s="64">
        <v>266.919</v>
      </c>
    </row>
    <row r="107" spans="1:62" ht="12.75">
      <c r="A107" s="5" t="s">
        <v>43</v>
      </c>
      <c r="B107" s="5" t="s">
        <v>359</v>
      </c>
      <c r="C107" s="99" t="s">
        <v>616</v>
      </c>
      <c r="D107" s="100"/>
      <c r="E107" s="100"/>
      <c r="F107" s="5" t="s">
        <v>984</v>
      </c>
      <c r="G107" s="63">
        <v>240.092</v>
      </c>
      <c r="H107" s="18">
        <v>0</v>
      </c>
      <c r="I107" s="18">
        <f>G107*AO107</f>
        <v>0</v>
      </c>
      <c r="J107" s="18">
        <f>G107*AP107</f>
        <v>0</v>
      </c>
      <c r="K107" s="18">
        <f>G107*H107</f>
        <v>0</v>
      </c>
      <c r="L107" s="29"/>
      <c r="Z107" s="34">
        <f>IF(AQ107="5",BJ107,0)</f>
        <v>0</v>
      </c>
      <c r="AB107" s="34">
        <f>IF(AQ107="1",BH107,0)</f>
        <v>0</v>
      </c>
      <c r="AC107" s="34">
        <f>IF(AQ107="1",BI107,0)</f>
        <v>0</v>
      </c>
      <c r="AD107" s="34">
        <f>IF(AQ107="7",BH107,0)</f>
        <v>0</v>
      </c>
      <c r="AE107" s="34">
        <f>IF(AQ107="7",BI107,0)</f>
        <v>0</v>
      </c>
      <c r="AF107" s="34">
        <f>IF(AQ107="2",BH107,0)</f>
        <v>0</v>
      </c>
      <c r="AG107" s="34">
        <f>IF(AQ107="2",BI107,0)</f>
        <v>0</v>
      </c>
      <c r="AH107" s="34">
        <f>IF(AQ107="0",BJ107,0)</f>
        <v>0</v>
      </c>
      <c r="AI107" s="28" t="s">
        <v>1020</v>
      </c>
      <c r="AJ107" s="18">
        <f>IF(AN107=0,K107,0)</f>
        <v>0</v>
      </c>
      <c r="AK107" s="18">
        <f>IF(AN107=15,K107,0)</f>
        <v>0</v>
      </c>
      <c r="AL107" s="18">
        <f>IF(AN107=21,K107,0)</f>
        <v>0</v>
      </c>
      <c r="AN107" s="34">
        <v>21</v>
      </c>
      <c r="AO107" s="34">
        <f>H107*0.133333335769047</f>
        <v>0</v>
      </c>
      <c r="AP107" s="34">
        <f>H107*(1-0.133333335769047)</f>
        <v>0</v>
      </c>
      <c r="AQ107" s="29" t="s">
        <v>6</v>
      </c>
      <c r="AV107" s="34">
        <f>AW107+AX107</f>
        <v>0</v>
      </c>
      <c r="AW107" s="34">
        <f>G107*AO107</f>
        <v>0</v>
      </c>
      <c r="AX107" s="34">
        <f>G107*AP107</f>
        <v>0</v>
      </c>
      <c r="AY107" s="35" t="s">
        <v>1034</v>
      </c>
      <c r="AZ107" s="35" t="s">
        <v>1066</v>
      </c>
      <c r="BA107" s="28" t="s">
        <v>1085</v>
      </c>
      <c r="BC107" s="34">
        <f>AW107+AX107</f>
        <v>0</v>
      </c>
      <c r="BD107" s="34">
        <f>H107/(100-BE107)*100</f>
        <v>0</v>
      </c>
      <c r="BE107" s="34">
        <v>0</v>
      </c>
      <c r="BF107" s="34">
        <f>107</f>
        <v>107</v>
      </c>
      <c r="BH107" s="18">
        <f>G107*AO107</f>
        <v>0</v>
      </c>
      <c r="BI107" s="18">
        <f>G107*AP107</f>
        <v>0</v>
      </c>
      <c r="BJ107" s="18">
        <f>G107*H107</f>
        <v>0</v>
      </c>
    </row>
    <row r="108" spans="3:7" ht="12.75">
      <c r="C108" s="101" t="s">
        <v>611</v>
      </c>
      <c r="D108" s="102"/>
      <c r="E108" s="102"/>
      <c r="G108" s="64">
        <v>240.092</v>
      </c>
    </row>
    <row r="109" spans="1:62" ht="12.75">
      <c r="A109" s="5" t="s">
        <v>44</v>
      </c>
      <c r="B109" s="5" t="s">
        <v>360</v>
      </c>
      <c r="C109" s="99" t="s">
        <v>617</v>
      </c>
      <c r="D109" s="100"/>
      <c r="E109" s="100"/>
      <c r="F109" s="5" t="s">
        <v>984</v>
      </c>
      <c r="G109" s="63">
        <v>63.06</v>
      </c>
      <c r="H109" s="18">
        <v>0</v>
      </c>
      <c r="I109" s="18">
        <f>G109*AO109</f>
        <v>0</v>
      </c>
      <c r="J109" s="18">
        <f>G109*AP109</f>
        <v>0</v>
      </c>
      <c r="K109" s="18">
        <f>G109*H109</f>
        <v>0</v>
      </c>
      <c r="L109" s="29"/>
      <c r="Z109" s="34">
        <f>IF(AQ109="5",BJ109,0)</f>
        <v>0</v>
      </c>
      <c r="AB109" s="34">
        <f>IF(AQ109="1",BH109,0)</f>
        <v>0</v>
      </c>
      <c r="AC109" s="34">
        <f>IF(AQ109="1",BI109,0)</f>
        <v>0</v>
      </c>
      <c r="AD109" s="34">
        <f>IF(AQ109="7",BH109,0)</f>
        <v>0</v>
      </c>
      <c r="AE109" s="34">
        <f>IF(AQ109="7",BI109,0)</f>
        <v>0</v>
      </c>
      <c r="AF109" s="34">
        <f>IF(AQ109="2",BH109,0)</f>
        <v>0</v>
      </c>
      <c r="AG109" s="34">
        <f>IF(AQ109="2",BI109,0)</f>
        <v>0</v>
      </c>
      <c r="AH109" s="34">
        <f>IF(AQ109="0",BJ109,0)</f>
        <v>0</v>
      </c>
      <c r="AI109" s="28" t="s">
        <v>1020</v>
      </c>
      <c r="AJ109" s="18">
        <f>IF(AN109=0,K109,0)</f>
        <v>0</v>
      </c>
      <c r="AK109" s="18">
        <f>IF(AN109=15,K109,0)</f>
        <v>0</v>
      </c>
      <c r="AL109" s="18">
        <f>IF(AN109=21,K109,0)</f>
        <v>0</v>
      </c>
      <c r="AN109" s="34">
        <v>21</v>
      </c>
      <c r="AO109" s="34">
        <f>H109*0.222926692996431</f>
        <v>0</v>
      </c>
      <c r="AP109" s="34">
        <f>H109*(1-0.222926692996431)</f>
        <v>0</v>
      </c>
      <c r="AQ109" s="29" t="s">
        <v>6</v>
      </c>
      <c r="AV109" s="34">
        <f>AW109+AX109</f>
        <v>0</v>
      </c>
      <c r="AW109" s="34">
        <f>G109*AO109</f>
        <v>0</v>
      </c>
      <c r="AX109" s="34">
        <f>G109*AP109</f>
        <v>0</v>
      </c>
      <c r="AY109" s="35" t="s">
        <v>1034</v>
      </c>
      <c r="AZ109" s="35" t="s">
        <v>1066</v>
      </c>
      <c r="BA109" s="28" t="s">
        <v>1085</v>
      </c>
      <c r="BC109" s="34">
        <f>AW109+AX109</f>
        <v>0</v>
      </c>
      <c r="BD109" s="34">
        <f>H109/(100-BE109)*100</f>
        <v>0</v>
      </c>
      <c r="BE109" s="34">
        <v>0</v>
      </c>
      <c r="BF109" s="34">
        <f>109</f>
        <v>109</v>
      </c>
      <c r="BH109" s="18">
        <f>G109*AO109</f>
        <v>0</v>
      </c>
      <c r="BI109" s="18">
        <f>G109*AP109</f>
        <v>0</v>
      </c>
      <c r="BJ109" s="18">
        <f>G109*H109</f>
        <v>0</v>
      </c>
    </row>
    <row r="110" spans="3:7" ht="12.75">
      <c r="C110" s="101" t="s">
        <v>618</v>
      </c>
      <c r="D110" s="102"/>
      <c r="E110" s="102"/>
      <c r="G110" s="64">
        <v>63.06</v>
      </c>
    </row>
    <row r="111" spans="1:62" ht="12.75">
      <c r="A111" s="5" t="s">
        <v>45</v>
      </c>
      <c r="B111" s="5" t="s">
        <v>361</v>
      </c>
      <c r="C111" s="99" t="s">
        <v>619</v>
      </c>
      <c r="D111" s="100"/>
      <c r="E111" s="100"/>
      <c r="F111" s="5" t="s">
        <v>984</v>
      </c>
      <c r="G111" s="63">
        <v>63.06</v>
      </c>
      <c r="H111" s="18">
        <v>0</v>
      </c>
      <c r="I111" s="18">
        <f>G111*AO111</f>
        <v>0</v>
      </c>
      <c r="J111" s="18">
        <f>G111*AP111</f>
        <v>0</v>
      </c>
      <c r="K111" s="18">
        <f>G111*H111</f>
        <v>0</v>
      </c>
      <c r="L111" s="29"/>
      <c r="Z111" s="34">
        <f>IF(AQ111="5",BJ111,0)</f>
        <v>0</v>
      </c>
      <c r="AB111" s="34">
        <f>IF(AQ111="1",BH111,0)</f>
        <v>0</v>
      </c>
      <c r="AC111" s="34">
        <f>IF(AQ111="1",BI111,0)</f>
        <v>0</v>
      </c>
      <c r="AD111" s="34">
        <f>IF(AQ111="7",BH111,0)</f>
        <v>0</v>
      </c>
      <c r="AE111" s="34">
        <f>IF(AQ111="7",BI111,0)</f>
        <v>0</v>
      </c>
      <c r="AF111" s="34">
        <f>IF(AQ111="2",BH111,0)</f>
        <v>0</v>
      </c>
      <c r="AG111" s="34">
        <f>IF(AQ111="2",BI111,0)</f>
        <v>0</v>
      </c>
      <c r="AH111" s="34">
        <f>IF(AQ111="0",BJ111,0)</f>
        <v>0</v>
      </c>
      <c r="AI111" s="28" t="s">
        <v>1020</v>
      </c>
      <c r="AJ111" s="18">
        <f>IF(AN111=0,K111,0)</f>
        <v>0</v>
      </c>
      <c r="AK111" s="18">
        <f>IF(AN111=15,K111,0)</f>
        <v>0</v>
      </c>
      <c r="AL111" s="18">
        <f>IF(AN111=21,K111,0)</f>
        <v>0</v>
      </c>
      <c r="AN111" s="34">
        <v>21</v>
      </c>
      <c r="AO111" s="34">
        <f>H111*0.325896597270269</f>
        <v>0</v>
      </c>
      <c r="AP111" s="34">
        <f>H111*(1-0.325896597270269)</f>
        <v>0</v>
      </c>
      <c r="AQ111" s="29" t="s">
        <v>6</v>
      </c>
      <c r="AV111" s="34">
        <f>AW111+AX111</f>
        <v>0</v>
      </c>
      <c r="AW111" s="34">
        <f>G111*AO111</f>
        <v>0</v>
      </c>
      <c r="AX111" s="34">
        <f>G111*AP111</f>
        <v>0</v>
      </c>
      <c r="AY111" s="35" t="s">
        <v>1034</v>
      </c>
      <c r="AZ111" s="35" t="s">
        <v>1066</v>
      </c>
      <c r="BA111" s="28" t="s">
        <v>1085</v>
      </c>
      <c r="BC111" s="34">
        <f>AW111+AX111</f>
        <v>0</v>
      </c>
      <c r="BD111" s="34">
        <f>H111/(100-BE111)*100</f>
        <v>0</v>
      </c>
      <c r="BE111" s="34">
        <v>0</v>
      </c>
      <c r="BF111" s="34">
        <f>111</f>
        <v>111</v>
      </c>
      <c r="BH111" s="18">
        <f>G111*AO111</f>
        <v>0</v>
      </c>
      <c r="BI111" s="18">
        <f>G111*AP111</f>
        <v>0</v>
      </c>
      <c r="BJ111" s="18">
        <f>G111*H111</f>
        <v>0</v>
      </c>
    </row>
    <row r="112" spans="3:7" ht="12.75">
      <c r="C112" s="101" t="s">
        <v>618</v>
      </c>
      <c r="D112" s="102"/>
      <c r="E112" s="102"/>
      <c r="G112" s="64">
        <v>63.06</v>
      </c>
    </row>
    <row r="113" spans="1:62" ht="12.75">
      <c r="A113" s="5" t="s">
        <v>46</v>
      </c>
      <c r="B113" s="5" t="s">
        <v>350</v>
      </c>
      <c r="C113" s="99" t="s">
        <v>620</v>
      </c>
      <c r="D113" s="100"/>
      <c r="E113" s="100"/>
      <c r="F113" s="5" t="s">
        <v>984</v>
      </c>
      <c r="G113" s="63">
        <v>3.114</v>
      </c>
      <c r="H113" s="18">
        <v>0</v>
      </c>
      <c r="I113" s="18">
        <f>G113*AO113</f>
        <v>0</v>
      </c>
      <c r="J113" s="18">
        <f>G113*AP113</f>
        <v>0</v>
      </c>
      <c r="K113" s="18">
        <f>G113*H113</f>
        <v>0</v>
      </c>
      <c r="L113" s="29"/>
      <c r="Z113" s="34">
        <f>IF(AQ113="5",BJ113,0)</f>
        <v>0</v>
      </c>
      <c r="AB113" s="34">
        <f>IF(AQ113="1",BH113,0)</f>
        <v>0</v>
      </c>
      <c r="AC113" s="34">
        <f>IF(AQ113="1",BI113,0)</f>
        <v>0</v>
      </c>
      <c r="AD113" s="34">
        <f>IF(AQ113="7",BH113,0)</f>
        <v>0</v>
      </c>
      <c r="AE113" s="34">
        <f>IF(AQ113="7",BI113,0)</f>
        <v>0</v>
      </c>
      <c r="AF113" s="34">
        <f>IF(AQ113="2",BH113,0)</f>
        <v>0</v>
      </c>
      <c r="AG113" s="34">
        <f>IF(AQ113="2",BI113,0)</f>
        <v>0</v>
      </c>
      <c r="AH113" s="34">
        <f>IF(AQ113="0",BJ113,0)</f>
        <v>0</v>
      </c>
      <c r="AI113" s="28" t="s">
        <v>1020</v>
      </c>
      <c r="AJ113" s="18">
        <f>IF(AN113=0,K113,0)</f>
        <v>0</v>
      </c>
      <c r="AK113" s="18">
        <f>IF(AN113=15,K113,0)</f>
        <v>0</v>
      </c>
      <c r="AL113" s="18">
        <f>IF(AN113=21,K113,0)</f>
        <v>0</v>
      </c>
      <c r="AN113" s="34">
        <v>21</v>
      </c>
      <c r="AO113" s="34">
        <f>H113*0.665839144469772</f>
        <v>0</v>
      </c>
      <c r="AP113" s="34">
        <f>H113*(1-0.665839144469772)</f>
        <v>0</v>
      </c>
      <c r="AQ113" s="29" t="s">
        <v>6</v>
      </c>
      <c r="AV113" s="34">
        <f>AW113+AX113</f>
        <v>0</v>
      </c>
      <c r="AW113" s="34">
        <f>G113*AO113</f>
        <v>0</v>
      </c>
      <c r="AX113" s="34">
        <f>G113*AP113</f>
        <v>0</v>
      </c>
      <c r="AY113" s="35" t="s">
        <v>1034</v>
      </c>
      <c r="AZ113" s="35" t="s">
        <v>1066</v>
      </c>
      <c r="BA113" s="28" t="s">
        <v>1085</v>
      </c>
      <c r="BC113" s="34">
        <f>AW113+AX113</f>
        <v>0</v>
      </c>
      <c r="BD113" s="34">
        <f>H113/(100-BE113)*100</f>
        <v>0</v>
      </c>
      <c r="BE113" s="34">
        <v>0</v>
      </c>
      <c r="BF113" s="34">
        <f>113</f>
        <v>113</v>
      </c>
      <c r="BH113" s="18">
        <f>G113*AO113</f>
        <v>0</v>
      </c>
      <c r="BI113" s="18">
        <f>G113*AP113</f>
        <v>0</v>
      </c>
      <c r="BJ113" s="18">
        <f>G113*H113</f>
        <v>0</v>
      </c>
    </row>
    <row r="114" spans="3:7" ht="12.75">
      <c r="C114" s="101" t="s">
        <v>621</v>
      </c>
      <c r="D114" s="102"/>
      <c r="E114" s="102"/>
      <c r="G114" s="64">
        <v>3.114</v>
      </c>
    </row>
    <row r="115" spans="1:47" ht="12.75">
      <c r="A115" s="4"/>
      <c r="B115" s="14" t="s">
        <v>68</v>
      </c>
      <c r="C115" s="97" t="s">
        <v>622</v>
      </c>
      <c r="D115" s="98"/>
      <c r="E115" s="98"/>
      <c r="F115" s="4" t="s">
        <v>5</v>
      </c>
      <c r="G115" s="4" t="s">
        <v>5</v>
      </c>
      <c r="H115" s="4" t="s">
        <v>5</v>
      </c>
      <c r="I115" s="37">
        <f>SUM(I116:I120)</f>
        <v>0</v>
      </c>
      <c r="J115" s="37">
        <f>SUM(J116:J120)</f>
        <v>0</v>
      </c>
      <c r="K115" s="37">
        <f>SUM(K116:K120)</f>
        <v>0</v>
      </c>
      <c r="L115" s="28"/>
      <c r="AI115" s="28" t="s">
        <v>1020</v>
      </c>
      <c r="AS115" s="37">
        <f>SUM(AJ116:AJ120)</f>
        <v>0</v>
      </c>
      <c r="AT115" s="37">
        <f>SUM(AK116:AK120)</f>
        <v>0</v>
      </c>
      <c r="AU115" s="37">
        <f>SUM(AL116:AL120)</f>
        <v>0</v>
      </c>
    </row>
    <row r="116" spans="1:62" ht="12.75">
      <c r="A116" s="5" t="s">
        <v>47</v>
      </c>
      <c r="B116" s="5" t="s">
        <v>362</v>
      </c>
      <c r="C116" s="99" t="s">
        <v>623</v>
      </c>
      <c r="D116" s="100"/>
      <c r="E116" s="100"/>
      <c r="F116" s="5" t="s">
        <v>984</v>
      </c>
      <c r="G116" s="63">
        <v>17.82</v>
      </c>
      <c r="H116" s="18">
        <v>0</v>
      </c>
      <c r="I116" s="18">
        <f>G116*AO116</f>
        <v>0</v>
      </c>
      <c r="J116" s="18">
        <f>G116*AP116</f>
        <v>0</v>
      </c>
      <c r="K116" s="18">
        <f>G116*H116</f>
        <v>0</v>
      </c>
      <c r="L116" s="29"/>
      <c r="Z116" s="34">
        <f>IF(AQ116="5",BJ116,0)</f>
        <v>0</v>
      </c>
      <c r="AB116" s="34">
        <f>IF(AQ116="1",BH116,0)</f>
        <v>0</v>
      </c>
      <c r="AC116" s="34">
        <f>IF(AQ116="1",BI116,0)</f>
        <v>0</v>
      </c>
      <c r="AD116" s="34">
        <f>IF(AQ116="7",BH116,0)</f>
        <v>0</v>
      </c>
      <c r="AE116" s="34">
        <f>IF(AQ116="7",BI116,0)</f>
        <v>0</v>
      </c>
      <c r="AF116" s="34">
        <f>IF(AQ116="2",BH116,0)</f>
        <v>0</v>
      </c>
      <c r="AG116" s="34">
        <f>IF(AQ116="2",BI116,0)</f>
        <v>0</v>
      </c>
      <c r="AH116" s="34">
        <f>IF(AQ116="0",BJ116,0)</f>
        <v>0</v>
      </c>
      <c r="AI116" s="28" t="s">
        <v>1020</v>
      </c>
      <c r="AJ116" s="18">
        <f>IF(AN116=0,K116,0)</f>
        <v>0</v>
      </c>
      <c r="AK116" s="18">
        <f>IF(AN116=15,K116,0)</f>
        <v>0</v>
      </c>
      <c r="AL116" s="18">
        <f>IF(AN116=21,K116,0)</f>
        <v>0</v>
      </c>
      <c r="AN116" s="34">
        <v>21</v>
      </c>
      <c r="AO116" s="34">
        <f>H116*0.431411764705882</f>
        <v>0</v>
      </c>
      <c r="AP116" s="34">
        <f>H116*(1-0.431411764705882)</f>
        <v>0</v>
      </c>
      <c r="AQ116" s="29" t="s">
        <v>6</v>
      </c>
      <c r="AV116" s="34">
        <f>AW116+AX116</f>
        <v>0</v>
      </c>
      <c r="AW116" s="34">
        <f>G116*AO116</f>
        <v>0</v>
      </c>
      <c r="AX116" s="34">
        <f>G116*AP116</f>
        <v>0</v>
      </c>
      <c r="AY116" s="35" t="s">
        <v>1035</v>
      </c>
      <c r="AZ116" s="35" t="s">
        <v>1066</v>
      </c>
      <c r="BA116" s="28" t="s">
        <v>1085</v>
      </c>
      <c r="BC116" s="34">
        <f>AW116+AX116</f>
        <v>0</v>
      </c>
      <c r="BD116" s="34">
        <f>H116/(100-BE116)*100</f>
        <v>0</v>
      </c>
      <c r="BE116" s="34">
        <v>0</v>
      </c>
      <c r="BF116" s="34">
        <f>116</f>
        <v>116</v>
      </c>
      <c r="BH116" s="18">
        <f>G116*AO116</f>
        <v>0</v>
      </c>
      <c r="BI116" s="18">
        <f>G116*AP116</f>
        <v>0</v>
      </c>
      <c r="BJ116" s="18">
        <f>G116*H116</f>
        <v>0</v>
      </c>
    </row>
    <row r="117" spans="3:7" ht="12.75">
      <c r="C117" s="101" t="s">
        <v>624</v>
      </c>
      <c r="D117" s="102"/>
      <c r="E117" s="102"/>
      <c r="G117" s="64">
        <v>17.82</v>
      </c>
    </row>
    <row r="118" spans="1:62" ht="12.75">
      <c r="A118" s="5" t="s">
        <v>48</v>
      </c>
      <c r="B118" s="5" t="s">
        <v>363</v>
      </c>
      <c r="C118" s="99" t="s">
        <v>625</v>
      </c>
      <c r="D118" s="100"/>
      <c r="E118" s="100"/>
      <c r="F118" s="5" t="s">
        <v>984</v>
      </c>
      <c r="G118" s="63">
        <v>15.44</v>
      </c>
      <c r="H118" s="18">
        <v>0</v>
      </c>
      <c r="I118" s="18">
        <f>G118*AO118</f>
        <v>0</v>
      </c>
      <c r="J118" s="18">
        <f>G118*AP118</f>
        <v>0</v>
      </c>
      <c r="K118" s="18">
        <f>G118*H118</f>
        <v>0</v>
      </c>
      <c r="L118" s="29"/>
      <c r="Z118" s="34">
        <f>IF(AQ118="5",BJ118,0)</f>
        <v>0</v>
      </c>
      <c r="AB118" s="34">
        <f>IF(AQ118="1",BH118,0)</f>
        <v>0</v>
      </c>
      <c r="AC118" s="34">
        <f>IF(AQ118="1",BI118,0)</f>
        <v>0</v>
      </c>
      <c r="AD118" s="34">
        <f>IF(AQ118="7",BH118,0)</f>
        <v>0</v>
      </c>
      <c r="AE118" s="34">
        <f>IF(AQ118="7",BI118,0)</f>
        <v>0</v>
      </c>
      <c r="AF118" s="34">
        <f>IF(AQ118="2",BH118,0)</f>
        <v>0</v>
      </c>
      <c r="AG118" s="34">
        <f>IF(AQ118="2",BI118,0)</f>
        <v>0</v>
      </c>
      <c r="AH118" s="34">
        <f>IF(AQ118="0",BJ118,0)</f>
        <v>0</v>
      </c>
      <c r="AI118" s="28" t="s">
        <v>1020</v>
      </c>
      <c r="AJ118" s="18">
        <f>IF(AN118=0,K118,0)</f>
        <v>0</v>
      </c>
      <c r="AK118" s="18">
        <f>IF(AN118=15,K118,0)</f>
        <v>0</v>
      </c>
      <c r="AL118" s="18">
        <f>IF(AN118=21,K118,0)</f>
        <v>0</v>
      </c>
      <c r="AN118" s="34">
        <v>21</v>
      </c>
      <c r="AO118" s="34">
        <f>H118*0.200521743055085</f>
        <v>0</v>
      </c>
      <c r="AP118" s="34">
        <f>H118*(1-0.200521743055085)</f>
        <v>0</v>
      </c>
      <c r="AQ118" s="29" t="s">
        <v>6</v>
      </c>
      <c r="AV118" s="34">
        <f>AW118+AX118</f>
        <v>0</v>
      </c>
      <c r="AW118" s="34">
        <f>G118*AO118</f>
        <v>0</v>
      </c>
      <c r="AX118" s="34">
        <f>G118*AP118</f>
        <v>0</v>
      </c>
      <c r="AY118" s="35" t="s">
        <v>1035</v>
      </c>
      <c r="AZ118" s="35" t="s">
        <v>1066</v>
      </c>
      <c r="BA118" s="28" t="s">
        <v>1085</v>
      </c>
      <c r="BC118" s="34">
        <f>AW118+AX118</f>
        <v>0</v>
      </c>
      <c r="BD118" s="34">
        <f>H118/(100-BE118)*100</f>
        <v>0</v>
      </c>
      <c r="BE118" s="34">
        <v>0</v>
      </c>
      <c r="BF118" s="34">
        <f>118</f>
        <v>118</v>
      </c>
      <c r="BH118" s="18">
        <f>G118*AO118</f>
        <v>0</v>
      </c>
      <c r="BI118" s="18">
        <f>G118*AP118</f>
        <v>0</v>
      </c>
      <c r="BJ118" s="18">
        <f>G118*H118</f>
        <v>0</v>
      </c>
    </row>
    <row r="119" spans="3:7" ht="12.75">
      <c r="C119" s="101" t="s">
        <v>626</v>
      </c>
      <c r="D119" s="102"/>
      <c r="E119" s="102"/>
      <c r="G119" s="64">
        <v>15.44</v>
      </c>
    </row>
    <row r="120" spans="1:62" ht="12.75">
      <c r="A120" s="5" t="s">
        <v>49</v>
      </c>
      <c r="B120" s="5" t="s">
        <v>364</v>
      </c>
      <c r="C120" s="99" t="s">
        <v>627</v>
      </c>
      <c r="D120" s="100"/>
      <c r="E120" s="100"/>
      <c r="F120" s="5" t="s">
        <v>984</v>
      </c>
      <c r="G120" s="63">
        <v>9.65</v>
      </c>
      <c r="H120" s="18">
        <v>0</v>
      </c>
      <c r="I120" s="18">
        <f>G120*AO120</f>
        <v>0</v>
      </c>
      <c r="J120" s="18">
        <f>G120*AP120</f>
        <v>0</v>
      </c>
      <c r="K120" s="18">
        <f>G120*H120</f>
        <v>0</v>
      </c>
      <c r="L120" s="29"/>
      <c r="Z120" s="34">
        <f>IF(AQ120="5",BJ120,0)</f>
        <v>0</v>
      </c>
      <c r="AB120" s="34">
        <f>IF(AQ120="1",BH120,0)</f>
        <v>0</v>
      </c>
      <c r="AC120" s="34">
        <f>IF(AQ120="1",BI120,0)</f>
        <v>0</v>
      </c>
      <c r="AD120" s="34">
        <f>IF(AQ120="7",BH120,0)</f>
        <v>0</v>
      </c>
      <c r="AE120" s="34">
        <f>IF(AQ120="7",BI120,0)</f>
        <v>0</v>
      </c>
      <c r="AF120" s="34">
        <f>IF(AQ120="2",BH120,0)</f>
        <v>0</v>
      </c>
      <c r="AG120" s="34">
        <f>IF(AQ120="2",BI120,0)</f>
        <v>0</v>
      </c>
      <c r="AH120" s="34">
        <f>IF(AQ120="0",BJ120,0)</f>
        <v>0</v>
      </c>
      <c r="AI120" s="28" t="s">
        <v>1020</v>
      </c>
      <c r="AJ120" s="18">
        <f>IF(AN120=0,K120,0)</f>
        <v>0</v>
      </c>
      <c r="AK120" s="18">
        <f>IF(AN120=15,K120,0)</f>
        <v>0</v>
      </c>
      <c r="AL120" s="18">
        <f>IF(AN120=21,K120,0)</f>
        <v>0</v>
      </c>
      <c r="AN120" s="34">
        <v>21</v>
      </c>
      <c r="AO120" s="34">
        <f>H120*0.560682926829268</f>
        <v>0</v>
      </c>
      <c r="AP120" s="34">
        <f>H120*(1-0.560682926829268)</f>
        <v>0</v>
      </c>
      <c r="AQ120" s="29" t="s">
        <v>6</v>
      </c>
      <c r="AV120" s="34">
        <f>AW120+AX120</f>
        <v>0</v>
      </c>
      <c r="AW120" s="34">
        <f>G120*AO120</f>
        <v>0</v>
      </c>
      <c r="AX120" s="34">
        <f>G120*AP120</f>
        <v>0</v>
      </c>
      <c r="AY120" s="35" t="s">
        <v>1035</v>
      </c>
      <c r="AZ120" s="35" t="s">
        <v>1066</v>
      </c>
      <c r="BA120" s="28" t="s">
        <v>1085</v>
      </c>
      <c r="BC120" s="34">
        <f>AW120+AX120</f>
        <v>0</v>
      </c>
      <c r="BD120" s="34">
        <f>H120/(100-BE120)*100</f>
        <v>0</v>
      </c>
      <c r="BE120" s="34">
        <v>0</v>
      </c>
      <c r="BF120" s="34">
        <f>120</f>
        <v>120</v>
      </c>
      <c r="BH120" s="18">
        <f>G120*AO120</f>
        <v>0</v>
      </c>
      <c r="BI120" s="18">
        <f>G120*AP120</f>
        <v>0</v>
      </c>
      <c r="BJ120" s="18">
        <f>G120*H120</f>
        <v>0</v>
      </c>
    </row>
    <row r="121" spans="3:7" ht="12.75">
      <c r="C121" s="101" t="s">
        <v>559</v>
      </c>
      <c r="D121" s="102"/>
      <c r="E121" s="102"/>
      <c r="G121" s="64">
        <v>9.65</v>
      </c>
    </row>
    <row r="122" spans="1:47" ht="12.75">
      <c r="A122" s="4"/>
      <c r="B122" s="14" t="s">
        <v>365</v>
      </c>
      <c r="C122" s="97" t="s">
        <v>628</v>
      </c>
      <c r="D122" s="98"/>
      <c r="E122" s="98"/>
      <c r="F122" s="4" t="s">
        <v>5</v>
      </c>
      <c r="G122" s="4" t="s">
        <v>5</v>
      </c>
      <c r="H122" s="4" t="s">
        <v>5</v>
      </c>
      <c r="I122" s="37">
        <f>SUM(I123:I134)</f>
        <v>0</v>
      </c>
      <c r="J122" s="37">
        <f>SUM(J123:J134)</f>
        <v>0</v>
      </c>
      <c r="K122" s="37">
        <f>SUM(K123:K134)</f>
        <v>0</v>
      </c>
      <c r="L122" s="28"/>
      <c r="AI122" s="28" t="s">
        <v>1020</v>
      </c>
      <c r="AS122" s="37">
        <f>SUM(AJ123:AJ134)</f>
        <v>0</v>
      </c>
      <c r="AT122" s="37">
        <f>SUM(AK123:AK134)</f>
        <v>0</v>
      </c>
      <c r="AU122" s="37">
        <f>SUM(AL123:AL134)</f>
        <v>0</v>
      </c>
    </row>
    <row r="123" spans="1:62" ht="12.75">
      <c r="A123" s="5" t="s">
        <v>50</v>
      </c>
      <c r="B123" s="5" t="s">
        <v>366</v>
      </c>
      <c r="C123" s="99" t="s">
        <v>629</v>
      </c>
      <c r="D123" s="100"/>
      <c r="E123" s="100"/>
      <c r="F123" s="5" t="s">
        <v>984</v>
      </c>
      <c r="G123" s="63">
        <v>45.725</v>
      </c>
      <c r="H123" s="18">
        <v>0</v>
      </c>
      <c r="I123" s="18">
        <f>G123*AO123</f>
        <v>0</v>
      </c>
      <c r="J123" s="18">
        <f>G123*AP123</f>
        <v>0</v>
      </c>
      <c r="K123" s="18">
        <f>G123*H123</f>
        <v>0</v>
      </c>
      <c r="L123" s="29"/>
      <c r="Z123" s="34">
        <f>IF(AQ123="5",BJ123,0)</f>
        <v>0</v>
      </c>
      <c r="AB123" s="34">
        <f>IF(AQ123="1",BH123,0)</f>
        <v>0</v>
      </c>
      <c r="AC123" s="34">
        <f>IF(AQ123="1",BI123,0)</f>
        <v>0</v>
      </c>
      <c r="AD123" s="34">
        <f>IF(AQ123="7",BH123,0)</f>
        <v>0</v>
      </c>
      <c r="AE123" s="34">
        <f>IF(AQ123="7",BI123,0)</f>
        <v>0</v>
      </c>
      <c r="AF123" s="34">
        <f>IF(AQ123="2",BH123,0)</f>
        <v>0</v>
      </c>
      <c r="AG123" s="34">
        <f>IF(AQ123="2",BI123,0)</f>
        <v>0</v>
      </c>
      <c r="AH123" s="34">
        <f>IF(AQ123="0",BJ123,0)</f>
        <v>0</v>
      </c>
      <c r="AI123" s="28" t="s">
        <v>1020</v>
      </c>
      <c r="AJ123" s="18">
        <f>IF(AN123=0,K123,0)</f>
        <v>0</v>
      </c>
      <c r="AK123" s="18">
        <f>IF(AN123=15,K123,0)</f>
        <v>0</v>
      </c>
      <c r="AL123" s="18">
        <f>IF(AN123=21,K123,0)</f>
        <v>0</v>
      </c>
      <c r="AN123" s="34">
        <v>21</v>
      </c>
      <c r="AO123" s="34">
        <f>H123*0.272609291073137</f>
        <v>0</v>
      </c>
      <c r="AP123" s="34">
        <f>H123*(1-0.272609291073137)</f>
        <v>0</v>
      </c>
      <c r="AQ123" s="29" t="s">
        <v>12</v>
      </c>
      <c r="AV123" s="34">
        <f>AW123+AX123</f>
        <v>0</v>
      </c>
      <c r="AW123" s="34">
        <f>G123*AO123</f>
        <v>0</v>
      </c>
      <c r="AX123" s="34">
        <f>G123*AP123</f>
        <v>0</v>
      </c>
      <c r="AY123" s="35" t="s">
        <v>1036</v>
      </c>
      <c r="AZ123" s="35" t="s">
        <v>1067</v>
      </c>
      <c r="BA123" s="28" t="s">
        <v>1085</v>
      </c>
      <c r="BC123" s="34">
        <f>AW123+AX123</f>
        <v>0</v>
      </c>
      <c r="BD123" s="34">
        <f>H123/(100-BE123)*100</f>
        <v>0</v>
      </c>
      <c r="BE123" s="34">
        <v>0</v>
      </c>
      <c r="BF123" s="34">
        <f>123</f>
        <v>123</v>
      </c>
      <c r="BH123" s="18">
        <f>G123*AO123</f>
        <v>0</v>
      </c>
      <c r="BI123" s="18">
        <f>G123*AP123</f>
        <v>0</v>
      </c>
      <c r="BJ123" s="18">
        <f>G123*H123</f>
        <v>0</v>
      </c>
    </row>
    <row r="124" spans="3:7" ht="12.75">
      <c r="C124" s="101" t="s">
        <v>630</v>
      </c>
      <c r="D124" s="102"/>
      <c r="E124" s="102"/>
      <c r="G124" s="64">
        <v>45.725</v>
      </c>
    </row>
    <row r="125" spans="1:62" ht="12.75">
      <c r="A125" s="5" t="s">
        <v>51</v>
      </c>
      <c r="B125" s="5" t="s">
        <v>367</v>
      </c>
      <c r="C125" s="99" t="s">
        <v>631</v>
      </c>
      <c r="D125" s="100"/>
      <c r="E125" s="100"/>
      <c r="F125" s="5" t="s">
        <v>984</v>
      </c>
      <c r="G125" s="63">
        <v>63.06</v>
      </c>
      <c r="H125" s="18">
        <v>0</v>
      </c>
      <c r="I125" s="18">
        <f>G125*AO125</f>
        <v>0</v>
      </c>
      <c r="J125" s="18">
        <f>G125*AP125</f>
        <v>0</v>
      </c>
      <c r="K125" s="18">
        <f>G125*H125</f>
        <v>0</v>
      </c>
      <c r="L125" s="29"/>
      <c r="Z125" s="34">
        <f>IF(AQ125="5",BJ125,0)</f>
        <v>0</v>
      </c>
      <c r="AB125" s="34">
        <f>IF(AQ125="1",BH125,0)</f>
        <v>0</v>
      </c>
      <c r="AC125" s="34">
        <f>IF(AQ125="1",BI125,0)</f>
        <v>0</v>
      </c>
      <c r="AD125" s="34">
        <f>IF(AQ125="7",BH125,0)</f>
        <v>0</v>
      </c>
      <c r="AE125" s="34">
        <f>IF(AQ125="7",BI125,0)</f>
        <v>0</v>
      </c>
      <c r="AF125" s="34">
        <f>IF(AQ125="2",BH125,0)</f>
        <v>0</v>
      </c>
      <c r="AG125" s="34">
        <f>IF(AQ125="2",BI125,0)</f>
        <v>0</v>
      </c>
      <c r="AH125" s="34">
        <f>IF(AQ125="0",BJ125,0)</f>
        <v>0</v>
      </c>
      <c r="AI125" s="28" t="s">
        <v>1020</v>
      </c>
      <c r="AJ125" s="18">
        <f>IF(AN125=0,K125,0)</f>
        <v>0</v>
      </c>
      <c r="AK125" s="18">
        <f>IF(AN125=15,K125,0)</f>
        <v>0</v>
      </c>
      <c r="AL125" s="18">
        <f>IF(AN125=21,K125,0)</f>
        <v>0</v>
      </c>
      <c r="AN125" s="34">
        <v>21</v>
      </c>
      <c r="AO125" s="34">
        <f>H125*0.406259248843894</f>
        <v>0</v>
      </c>
      <c r="AP125" s="34">
        <f>H125*(1-0.406259248843894)</f>
        <v>0</v>
      </c>
      <c r="AQ125" s="29" t="s">
        <v>12</v>
      </c>
      <c r="AV125" s="34">
        <f>AW125+AX125</f>
        <v>0</v>
      </c>
      <c r="AW125" s="34">
        <f>G125*AO125</f>
        <v>0</v>
      </c>
      <c r="AX125" s="34">
        <f>G125*AP125</f>
        <v>0</v>
      </c>
      <c r="AY125" s="35" t="s">
        <v>1036</v>
      </c>
      <c r="AZ125" s="35" t="s">
        <v>1067</v>
      </c>
      <c r="BA125" s="28" t="s">
        <v>1085</v>
      </c>
      <c r="BC125" s="34">
        <f>AW125+AX125</f>
        <v>0</v>
      </c>
      <c r="BD125" s="34">
        <f>H125/(100-BE125)*100</f>
        <v>0</v>
      </c>
      <c r="BE125" s="34">
        <v>0</v>
      </c>
      <c r="BF125" s="34">
        <f>125</f>
        <v>125</v>
      </c>
      <c r="BH125" s="18">
        <f>G125*AO125</f>
        <v>0</v>
      </c>
      <c r="BI125" s="18">
        <f>G125*AP125</f>
        <v>0</v>
      </c>
      <c r="BJ125" s="18">
        <f>G125*H125</f>
        <v>0</v>
      </c>
    </row>
    <row r="126" spans="3:7" ht="12.75">
      <c r="C126" s="101" t="s">
        <v>632</v>
      </c>
      <c r="D126" s="102"/>
      <c r="E126" s="102"/>
      <c r="G126" s="64">
        <v>63.06</v>
      </c>
    </row>
    <row r="127" spans="1:62" ht="12.75">
      <c r="A127" s="5" t="s">
        <v>52</v>
      </c>
      <c r="B127" s="5" t="s">
        <v>368</v>
      </c>
      <c r="C127" s="99" t="s">
        <v>633</v>
      </c>
      <c r="D127" s="100"/>
      <c r="E127" s="100"/>
      <c r="F127" s="5" t="s">
        <v>984</v>
      </c>
      <c r="G127" s="63">
        <v>63.06</v>
      </c>
      <c r="H127" s="18">
        <v>0</v>
      </c>
      <c r="I127" s="18">
        <f>G127*AO127</f>
        <v>0</v>
      </c>
      <c r="J127" s="18">
        <f>G127*AP127</f>
        <v>0</v>
      </c>
      <c r="K127" s="18">
        <f>G127*H127</f>
        <v>0</v>
      </c>
      <c r="L127" s="29"/>
      <c r="Z127" s="34">
        <f>IF(AQ127="5",BJ127,0)</f>
        <v>0</v>
      </c>
      <c r="AB127" s="34">
        <f>IF(AQ127="1",BH127,0)</f>
        <v>0</v>
      </c>
      <c r="AC127" s="34">
        <f>IF(AQ127="1",BI127,0)</f>
        <v>0</v>
      </c>
      <c r="AD127" s="34">
        <f>IF(AQ127="7",BH127,0)</f>
        <v>0</v>
      </c>
      <c r="AE127" s="34">
        <f>IF(AQ127="7",BI127,0)</f>
        <v>0</v>
      </c>
      <c r="AF127" s="34">
        <f>IF(AQ127="2",BH127,0)</f>
        <v>0</v>
      </c>
      <c r="AG127" s="34">
        <f>IF(AQ127="2",BI127,0)</f>
        <v>0</v>
      </c>
      <c r="AH127" s="34">
        <f>IF(AQ127="0",BJ127,0)</f>
        <v>0</v>
      </c>
      <c r="AI127" s="28" t="s">
        <v>1020</v>
      </c>
      <c r="AJ127" s="18">
        <f>IF(AN127=0,K127,0)</f>
        <v>0</v>
      </c>
      <c r="AK127" s="18">
        <f>IF(AN127=15,K127,0)</f>
        <v>0</v>
      </c>
      <c r="AL127" s="18">
        <f>IF(AN127=21,K127,0)</f>
        <v>0</v>
      </c>
      <c r="AN127" s="34">
        <v>21</v>
      </c>
      <c r="AO127" s="34">
        <f>H127*0</f>
        <v>0</v>
      </c>
      <c r="AP127" s="34">
        <f>H127*(1-0)</f>
        <v>0</v>
      </c>
      <c r="AQ127" s="29" t="s">
        <v>12</v>
      </c>
      <c r="AV127" s="34">
        <f>AW127+AX127</f>
        <v>0</v>
      </c>
      <c r="AW127" s="34">
        <f>G127*AO127</f>
        <v>0</v>
      </c>
      <c r="AX127" s="34">
        <f>G127*AP127</f>
        <v>0</v>
      </c>
      <c r="AY127" s="35" t="s">
        <v>1036</v>
      </c>
      <c r="AZ127" s="35" t="s">
        <v>1067</v>
      </c>
      <c r="BA127" s="28" t="s">
        <v>1085</v>
      </c>
      <c r="BC127" s="34">
        <f>AW127+AX127</f>
        <v>0</v>
      </c>
      <c r="BD127" s="34">
        <f>H127/(100-BE127)*100</f>
        <v>0</v>
      </c>
      <c r="BE127" s="34">
        <v>0</v>
      </c>
      <c r="BF127" s="34">
        <f>127</f>
        <v>127</v>
      </c>
      <c r="BH127" s="18">
        <f>G127*AO127</f>
        <v>0</v>
      </c>
      <c r="BI127" s="18">
        <f>G127*AP127</f>
        <v>0</v>
      </c>
      <c r="BJ127" s="18">
        <f>G127*H127</f>
        <v>0</v>
      </c>
    </row>
    <row r="128" spans="3:7" ht="12.75">
      <c r="C128" s="101" t="s">
        <v>618</v>
      </c>
      <c r="D128" s="102"/>
      <c r="E128" s="102"/>
      <c r="G128" s="64">
        <v>63.06</v>
      </c>
    </row>
    <row r="129" spans="1:62" ht="12.75">
      <c r="A129" s="5" t="s">
        <v>53</v>
      </c>
      <c r="B129" s="5" t="s">
        <v>369</v>
      </c>
      <c r="C129" s="99" t="s">
        <v>634</v>
      </c>
      <c r="D129" s="100"/>
      <c r="E129" s="100"/>
      <c r="F129" s="5" t="s">
        <v>984</v>
      </c>
      <c r="G129" s="63">
        <v>63.06</v>
      </c>
      <c r="H129" s="18">
        <v>0</v>
      </c>
      <c r="I129" s="18">
        <f>G129*AO129</f>
        <v>0</v>
      </c>
      <c r="J129" s="18">
        <f>G129*AP129</f>
        <v>0</v>
      </c>
      <c r="K129" s="18">
        <f>G129*H129</f>
        <v>0</v>
      </c>
      <c r="L129" s="29"/>
      <c r="Z129" s="34">
        <f>IF(AQ129="5",BJ129,0)</f>
        <v>0</v>
      </c>
      <c r="AB129" s="34">
        <f>IF(AQ129="1",BH129,0)</f>
        <v>0</v>
      </c>
      <c r="AC129" s="34">
        <f>IF(AQ129="1",BI129,0)</f>
        <v>0</v>
      </c>
      <c r="AD129" s="34">
        <f>IF(AQ129="7",BH129,0)</f>
        <v>0</v>
      </c>
      <c r="AE129" s="34">
        <f>IF(AQ129="7",BI129,0)</f>
        <v>0</v>
      </c>
      <c r="AF129" s="34">
        <f>IF(AQ129="2",BH129,0)</f>
        <v>0</v>
      </c>
      <c r="AG129" s="34">
        <f>IF(AQ129="2",BI129,0)</f>
        <v>0</v>
      </c>
      <c r="AH129" s="34">
        <f>IF(AQ129="0",BJ129,0)</f>
        <v>0</v>
      </c>
      <c r="AI129" s="28" t="s">
        <v>1020</v>
      </c>
      <c r="AJ129" s="18">
        <f>IF(AN129=0,K129,0)</f>
        <v>0</v>
      </c>
      <c r="AK129" s="18">
        <f>IF(AN129=15,K129,0)</f>
        <v>0</v>
      </c>
      <c r="AL129" s="18">
        <f>IF(AN129=21,K129,0)</f>
        <v>0</v>
      </c>
      <c r="AN129" s="34">
        <v>21</v>
      </c>
      <c r="AO129" s="34">
        <f>H129*0</f>
        <v>0</v>
      </c>
      <c r="AP129" s="34">
        <f>H129*(1-0)</f>
        <v>0</v>
      </c>
      <c r="AQ129" s="29" t="s">
        <v>12</v>
      </c>
      <c r="AV129" s="34">
        <f>AW129+AX129</f>
        <v>0</v>
      </c>
      <c r="AW129" s="34">
        <f>G129*AO129</f>
        <v>0</v>
      </c>
      <c r="AX129" s="34">
        <f>G129*AP129</f>
        <v>0</v>
      </c>
      <c r="AY129" s="35" t="s">
        <v>1036</v>
      </c>
      <c r="AZ129" s="35" t="s">
        <v>1067</v>
      </c>
      <c r="BA129" s="28" t="s">
        <v>1085</v>
      </c>
      <c r="BC129" s="34">
        <f>AW129+AX129</f>
        <v>0</v>
      </c>
      <c r="BD129" s="34">
        <f>H129/(100-BE129)*100</f>
        <v>0</v>
      </c>
      <c r="BE129" s="34">
        <v>0</v>
      </c>
      <c r="BF129" s="34">
        <f>129</f>
        <v>129</v>
      </c>
      <c r="BH129" s="18">
        <f>G129*AO129</f>
        <v>0</v>
      </c>
      <c r="BI129" s="18">
        <f>G129*AP129</f>
        <v>0</v>
      </c>
      <c r="BJ129" s="18">
        <f>G129*H129</f>
        <v>0</v>
      </c>
    </row>
    <row r="130" spans="3:7" ht="12.75">
      <c r="C130" s="101" t="s">
        <v>618</v>
      </c>
      <c r="D130" s="102"/>
      <c r="E130" s="102"/>
      <c r="G130" s="64">
        <v>63.06</v>
      </c>
    </row>
    <row r="131" spans="1:62" ht="12.75">
      <c r="A131" s="6" t="s">
        <v>54</v>
      </c>
      <c r="B131" s="6" t="s">
        <v>370</v>
      </c>
      <c r="C131" s="103" t="s">
        <v>635</v>
      </c>
      <c r="D131" s="104"/>
      <c r="E131" s="104"/>
      <c r="F131" s="6" t="s">
        <v>984</v>
      </c>
      <c r="G131" s="65">
        <v>138.732</v>
      </c>
      <c r="H131" s="19">
        <v>0</v>
      </c>
      <c r="I131" s="19">
        <f>G131*AO131</f>
        <v>0</v>
      </c>
      <c r="J131" s="19">
        <f>G131*AP131</f>
        <v>0</v>
      </c>
      <c r="K131" s="19">
        <f>G131*H131</f>
        <v>0</v>
      </c>
      <c r="L131" s="30"/>
      <c r="Z131" s="34">
        <f>IF(AQ131="5",BJ131,0)</f>
        <v>0</v>
      </c>
      <c r="AB131" s="34">
        <f>IF(AQ131="1",BH131,0)</f>
        <v>0</v>
      </c>
      <c r="AC131" s="34">
        <f>IF(AQ131="1",BI131,0)</f>
        <v>0</v>
      </c>
      <c r="AD131" s="34">
        <f>IF(AQ131="7",BH131,0)</f>
        <v>0</v>
      </c>
      <c r="AE131" s="34">
        <f>IF(AQ131="7",BI131,0)</f>
        <v>0</v>
      </c>
      <c r="AF131" s="34">
        <f>IF(AQ131="2",BH131,0)</f>
        <v>0</v>
      </c>
      <c r="AG131" s="34">
        <f>IF(AQ131="2",BI131,0)</f>
        <v>0</v>
      </c>
      <c r="AH131" s="34">
        <f>IF(AQ131="0",BJ131,0)</f>
        <v>0</v>
      </c>
      <c r="AI131" s="28" t="s">
        <v>1020</v>
      </c>
      <c r="AJ131" s="19">
        <f>IF(AN131=0,K131,0)</f>
        <v>0</v>
      </c>
      <c r="AK131" s="19">
        <f>IF(AN131=15,K131,0)</f>
        <v>0</v>
      </c>
      <c r="AL131" s="19">
        <f>IF(AN131=21,K131,0)</f>
        <v>0</v>
      </c>
      <c r="AN131" s="34">
        <v>21</v>
      </c>
      <c r="AO131" s="34">
        <f>H131*1</f>
        <v>0</v>
      </c>
      <c r="AP131" s="34">
        <f>H131*(1-1)</f>
        <v>0</v>
      </c>
      <c r="AQ131" s="30" t="s">
        <v>12</v>
      </c>
      <c r="AV131" s="34">
        <f>AW131+AX131</f>
        <v>0</v>
      </c>
      <c r="AW131" s="34">
        <f>G131*AO131</f>
        <v>0</v>
      </c>
      <c r="AX131" s="34">
        <f>G131*AP131</f>
        <v>0</v>
      </c>
      <c r="AY131" s="35" t="s">
        <v>1036</v>
      </c>
      <c r="AZ131" s="35" t="s">
        <v>1067</v>
      </c>
      <c r="BA131" s="28" t="s">
        <v>1085</v>
      </c>
      <c r="BC131" s="34">
        <f>AW131+AX131</f>
        <v>0</v>
      </c>
      <c r="BD131" s="34">
        <f>H131/(100-BE131)*100</f>
        <v>0</v>
      </c>
      <c r="BE131" s="34">
        <v>0</v>
      </c>
      <c r="BF131" s="34">
        <f>131</f>
        <v>131</v>
      </c>
      <c r="BH131" s="19">
        <f>G131*AO131</f>
        <v>0</v>
      </c>
      <c r="BI131" s="19">
        <f>G131*AP131</f>
        <v>0</v>
      </c>
      <c r="BJ131" s="19">
        <f>G131*H131</f>
        <v>0</v>
      </c>
    </row>
    <row r="132" spans="3:7" ht="12.75">
      <c r="C132" s="101" t="s">
        <v>636</v>
      </c>
      <c r="D132" s="102"/>
      <c r="E132" s="102"/>
      <c r="G132" s="64">
        <v>126.12</v>
      </c>
    </row>
    <row r="133" spans="3:7" ht="12.75">
      <c r="C133" s="101" t="s">
        <v>637</v>
      </c>
      <c r="D133" s="102"/>
      <c r="E133" s="102"/>
      <c r="G133" s="64">
        <v>12.612</v>
      </c>
    </row>
    <row r="134" spans="1:62" ht="12.75">
      <c r="A134" s="5" t="s">
        <v>55</v>
      </c>
      <c r="B134" s="5" t="s">
        <v>371</v>
      </c>
      <c r="C134" s="99" t="s">
        <v>638</v>
      </c>
      <c r="D134" s="100"/>
      <c r="E134" s="100"/>
      <c r="F134" s="5" t="s">
        <v>987</v>
      </c>
      <c r="G134" s="63">
        <v>0.161</v>
      </c>
      <c r="H134" s="18">
        <v>0</v>
      </c>
      <c r="I134" s="18">
        <f>G134*AO134</f>
        <v>0</v>
      </c>
      <c r="J134" s="18">
        <f>G134*AP134</f>
        <v>0</v>
      </c>
      <c r="K134" s="18">
        <f>G134*H134</f>
        <v>0</v>
      </c>
      <c r="L134" s="29"/>
      <c r="Z134" s="34">
        <f>IF(AQ134="5",BJ134,0)</f>
        <v>0</v>
      </c>
      <c r="AB134" s="34">
        <f>IF(AQ134="1",BH134,0)</f>
        <v>0</v>
      </c>
      <c r="AC134" s="34">
        <f>IF(AQ134="1",BI134,0)</f>
        <v>0</v>
      </c>
      <c r="AD134" s="34">
        <f>IF(AQ134="7",BH134,0)</f>
        <v>0</v>
      </c>
      <c r="AE134" s="34">
        <f>IF(AQ134="7",BI134,0)</f>
        <v>0</v>
      </c>
      <c r="AF134" s="34">
        <f>IF(AQ134="2",BH134,0)</f>
        <v>0</v>
      </c>
      <c r="AG134" s="34">
        <f>IF(AQ134="2",BI134,0)</f>
        <v>0</v>
      </c>
      <c r="AH134" s="34">
        <f>IF(AQ134="0",BJ134,0)</f>
        <v>0</v>
      </c>
      <c r="AI134" s="28" t="s">
        <v>1020</v>
      </c>
      <c r="AJ134" s="18">
        <f>IF(AN134=0,K134,0)</f>
        <v>0</v>
      </c>
      <c r="AK134" s="18">
        <f>IF(AN134=15,K134,0)</f>
        <v>0</v>
      </c>
      <c r="AL134" s="18">
        <f>IF(AN134=21,K134,0)</f>
        <v>0</v>
      </c>
      <c r="AN134" s="34">
        <v>21</v>
      </c>
      <c r="AO134" s="34">
        <f>H134*0</f>
        <v>0</v>
      </c>
      <c r="AP134" s="34">
        <f>H134*(1-0)</f>
        <v>0</v>
      </c>
      <c r="AQ134" s="29" t="s">
        <v>10</v>
      </c>
      <c r="AV134" s="34">
        <f>AW134+AX134</f>
        <v>0</v>
      </c>
      <c r="AW134" s="34">
        <f>G134*AO134</f>
        <v>0</v>
      </c>
      <c r="AX134" s="34">
        <f>G134*AP134</f>
        <v>0</v>
      </c>
      <c r="AY134" s="35" t="s">
        <v>1036</v>
      </c>
      <c r="AZ134" s="35" t="s">
        <v>1067</v>
      </c>
      <c r="BA134" s="28" t="s">
        <v>1085</v>
      </c>
      <c r="BC134" s="34">
        <f>AW134+AX134</f>
        <v>0</v>
      </c>
      <c r="BD134" s="34">
        <f>H134/(100-BE134)*100</f>
        <v>0</v>
      </c>
      <c r="BE134" s="34">
        <v>0</v>
      </c>
      <c r="BF134" s="34">
        <f>134</f>
        <v>134</v>
      </c>
      <c r="BH134" s="18">
        <f>G134*AO134</f>
        <v>0</v>
      </c>
      <c r="BI134" s="18">
        <f>G134*AP134</f>
        <v>0</v>
      </c>
      <c r="BJ134" s="18">
        <f>G134*H134</f>
        <v>0</v>
      </c>
    </row>
    <row r="135" spans="3:7" ht="12.75">
      <c r="C135" s="101" t="s">
        <v>639</v>
      </c>
      <c r="D135" s="102"/>
      <c r="E135" s="102"/>
      <c r="G135" s="64">
        <v>0.161</v>
      </c>
    </row>
    <row r="136" spans="1:47" ht="12.75">
      <c r="A136" s="4"/>
      <c r="B136" s="14" t="s">
        <v>372</v>
      </c>
      <c r="C136" s="97" t="s">
        <v>640</v>
      </c>
      <c r="D136" s="98"/>
      <c r="E136" s="98"/>
      <c r="F136" s="4" t="s">
        <v>5</v>
      </c>
      <c r="G136" s="4" t="s">
        <v>5</v>
      </c>
      <c r="H136" s="4" t="s">
        <v>5</v>
      </c>
      <c r="I136" s="37">
        <f>SUM(I137:I149)</f>
        <v>0</v>
      </c>
      <c r="J136" s="37">
        <f>SUM(J137:J149)</f>
        <v>0</v>
      </c>
      <c r="K136" s="37">
        <f>SUM(K137:K149)</f>
        <v>0</v>
      </c>
      <c r="L136" s="28"/>
      <c r="AI136" s="28" t="s">
        <v>1020</v>
      </c>
      <c r="AS136" s="37">
        <f>SUM(AJ137:AJ149)</f>
        <v>0</v>
      </c>
      <c r="AT136" s="37">
        <f>SUM(AK137:AK149)</f>
        <v>0</v>
      </c>
      <c r="AU136" s="37">
        <f>SUM(AL137:AL149)</f>
        <v>0</v>
      </c>
    </row>
    <row r="137" spans="1:62" ht="12.75">
      <c r="A137" s="5" t="s">
        <v>56</v>
      </c>
      <c r="B137" s="5" t="s">
        <v>373</v>
      </c>
      <c r="C137" s="99" t="s">
        <v>641</v>
      </c>
      <c r="D137" s="100"/>
      <c r="E137" s="100"/>
      <c r="F137" s="5" t="s">
        <v>984</v>
      </c>
      <c r="G137" s="63">
        <v>4.567</v>
      </c>
      <c r="H137" s="18">
        <v>0</v>
      </c>
      <c r="I137" s="18">
        <f>G137*AO137</f>
        <v>0</v>
      </c>
      <c r="J137" s="18">
        <f>G137*AP137</f>
        <v>0</v>
      </c>
      <c r="K137" s="18">
        <f>G137*H137</f>
        <v>0</v>
      </c>
      <c r="L137" s="29"/>
      <c r="Z137" s="34">
        <f>IF(AQ137="5",BJ137,0)</f>
        <v>0</v>
      </c>
      <c r="AB137" s="34">
        <f>IF(AQ137="1",BH137,0)</f>
        <v>0</v>
      </c>
      <c r="AC137" s="34">
        <f>IF(AQ137="1",BI137,0)</f>
        <v>0</v>
      </c>
      <c r="AD137" s="34">
        <f>IF(AQ137="7",BH137,0)</f>
        <v>0</v>
      </c>
      <c r="AE137" s="34">
        <f>IF(AQ137="7",BI137,0)</f>
        <v>0</v>
      </c>
      <c r="AF137" s="34">
        <f>IF(AQ137="2",BH137,0)</f>
        <v>0</v>
      </c>
      <c r="AG137" s="34">
        <f>IF(AQ137="2",BI137,0)</f>
        <v>0</v>
      </c>
      <c r="AH137" s="34">
        <f>IF(AQ137="0",BJ137,0)</f>
        <v>0</v>
      </c>
      <c r="AI137" s="28" t="s">
        <v>1020</v>
      </c>
      <c r="AJ137" s="18">
        <f>IF(AN137=0,K137,0)</f>
        <v>0</v>
      </c>
      <c r="AK137" s="18">
        <f>IF(AN137=15,K137,0)</f>
        <v>0</v>
      </c>
      <c r="AL137" s="18">
        <f>IF(AN137=21,K137,0)</f>
        <v>0</v>
      </c>
      <c r="AN137" s="34">
        <v>21</v>
      </c>
      <c r="AO137" s="34">
        <f>H137*0.542274691937016</f>
        <v>0</v>
      </c>
      <c r="AP137" s="34">
        <f>H137*(1-0.542274691937016)</f>
        <v>0</v>
      </c>
      <c r="AQ137" s="29" t="s">
        <v>12</v>
      </c>
      <c r="AV137" s="34">
        <f>AW137+AX137</f>
        <v>0</v>
      </c>
      <c r="AW137" s="34">
        <f>G137*AO137</f>
        <v>0</v>
      </c>
      <c r="AX137" s="34">
        <f>G137*AP137</f>
        <v>0</v>
      </c>
      <c r="AY137" s="35" t="s">
        <v>1037</v>
      </c>
      <c r="AZ137" s="35" t="s">
        <v>1067</v>
      </c>
      <c r="BA137" s="28" t="s">
        <v>1085</v>
      </c>
      <c r="BC137" s="34">
        <f>AW137+AX137</f>
        <v>0</v>
      </c>
      <c r="BD137" s="34">
        <f>H137/(100-BE137)*100</f>
        <v>0</v>
      </c>
      <c r="BE137" s="34">
        <v>0</v>
      </c>
      <c r="BF137" s="34">
        <f>137</f>
        <v>137</v>
      </c>
      <c r="BH137" s="18">
        <f>G137*AO137</f>
        <v>0</v>
      </c>
      <c r="BI137" s="18">
        <f>G137*AP137</f>
        <v>0</v>
      </c>
      <c r="BJ137" s="18">
        <f>G137*H137</f>
        <v>0</v>
      </c>
    </row>
    <row r="138" spans="3:7" ht="12.75">
      <c r="C138" s="101" t="s">
        <v>642</v>
      </c>
      <c r="D138" s="102"/>
      <c r="E138" s="102"/>
      <c r="G138" s="64">
        <v>4.567</v>
      </c>
    </row>
    <row r="139" spans="1:62" ht="12.75">
      <c r="A139" s="5" t="s">
        <v>57</v>
      </c>
      <c r="B139" s="5" t="s">
        <v>374</v>
      </c>
      <c r="C139" s="99" t="s">
        <v>643</v>
      </c>
      <c r="D139" s="100"/>
      <c r="E139" s="100"/>
      <c r="F139" s="5" t="s">
        <v>984</v>
      </c>
      <c r="G139" s="63">
        <v>4.567</v>
      </c>
      <c r="H139" s="18">
        <v>0</v>
      </c>
      <c r="I139" s="18">
        <f>G139*AO139</f>
        <v>0</v>
      </c>
      <c r="J139" s="18">
        <f>G139*AP139</f>
        <v>0</v>
      </c>
      <c r="K139" s="18">
        <f>G139*H139</f>
        <v>0</v>
      </c>
      <c r="L139" s="29"/>
      <c r="Z139" s="34">
        <f>IF(AQ139="5",BJ139,0)</f>
        <v>0</v>
      </c>
      <c r="AB139" s="34">
        <f>IF(AQ139="1",BH139,0)</f>
        <v>0</v>
      </c>
      <c r="AC139" s="34">
        <f>IF(AQ139="1",BI139,0)</f>
        <v>0</v>
      </c>
      <c r="AD139" s="34">
        <f>IF(AQ139="7",BH139,0)</f>
        <v>0</v>
      </c>
      <c r="AE139" s="34">
        <f>IF(AQ139="7",BI139,0)</f>
        <v>0</v>
      </c>
      <c r="AF139" s="34">
        <f>IF(AQ139="2",BH139,0)</f>
        <v>0</v>
      </c>
      <c r="AG139" s="34">
        <f>IF(AQ139="2",BI139,0)</f>
        <v>0</v>
      </c>
      <c r="AH139" s="34">
        <f>IF(AQ139="0",BJ139,0)</f>
        <v>0</v>
      </c>
      <c r="AI139" s="28" t="s">
        <v>1020</v>
      </c>
      <c r="AJ139" s="18">
        <f>IF(AN139=0,K139,0)</f>
        <v>0</v>
      </c>
      <c r="AK139" s="18">
        <f>IF(AN139=15,K139,0)</f>
        <v>0</v>
      </c>
      <c r="AL139" s="18">
        <f>IF(AN139=21,K139,0)</f>
        <v>0</v>
      </c>
      <c r="AN139" s="34">
        <v>21</v>
      </c>
      <c r="AO139" s="34">
        <f>H139*0</f>
        <v>0</v>
      </c>
      <c r="AP139" s="34">
        <f>H139*(1-0)</f>
        <v>0</v>
      </c>
      <c r="AQ139" s="29" t="s">
        <v>12</v>
      </c>
      <c r="AV139" s="34">
        <f>AW139+AX139</f>
        <v>0</v>
      </c>
      <c r="AW139" s="34">
        <f>G139*AO139</f>
        <v>0</v>
      </c>
      <c r="AX139" s="34">
        <f>G139*AP139</f>
        <v>0</v>
      </c>
      <c r="AY139" s="35" t="s">
        <v>1037</v>
      </c>
      <c r="AZ139" s="35" t="s">
        <v>1067</v>
      </c>
      <c r="BA139" s="28" t="s">
        <v>1085</v>
      </c>
      <c r="BC139" s="34">
        <f>AW139+AX139</f>
        <v>0</v>
      </c>
      <c r="BD139" s="34">
        <f>H139/(100-BE139)*100</f>
        <v>0</v>
      </c>
      <c r="BE139" s="34">
        <v>0</v>
      </c>
      <c r="BF139" s="34">
        <f>139</f>
        <v>139</v>
      </c>
      <c r="BH139" s="18">
        <f>G139*AO139</f>
        <v>0</v>
      </c>
      <c r="BI139" s="18">
        <f>G139*AP139</f>
        <v>0</v>
      </c>
      <c r="BJ139" s="18">
        <f>G139*H139</f>
        <v>0</v>
      </c>
    </row>
    <row r="140" spans="3:7" ht="12.75">
      <c r="C140" s="101" t="s">
        <v>642</v>
      </c>
      <c r="D140" s="102"/>
      <c r="E140" s="102"/>
      <c r="G140" s="64">
        <v>4.567</v>
      </c>
    </row>
    <row r="141" spans="1:62" ht="12.75">
      <c r="A141" s="5" t="s">
        <v>58</v>
      </c>
      <c r="B141" s="5" t="s">
        <v>375</v>
      </c>
      <c r="C141" s="99" t="s">
        <v>644</v>
      </c>
      <c r="D141" s="100"/>
      <c r="E141" s="100"/>
      <c r="F141" s="5" t="s">
        <v>986</v>
      </c>
      <c r="G141" s="63">
        <v>10.5</v>
      </c>
      <c r="H141" s="18">
        <v>0</v>
      </c>
      <c r="I141" s="18">
        <f>G141*AO141</f>
        <v>0</v>
      </c>
      <c r="J141" s="18">
        <f>G141*AP141</f>
        <v>0</v>
      </c>
      <c r="K141" s="18">
        <f>G141*H141</f>
        <v>0</v>
      </c>
      <c r="L141" s="29"/>
      <c r="Z141" s="34">
        <f>IF(AQ141="5",BJ141,0)</f>
        <v>0</v>
      </c>
      <c r="AB141" s="34">
        <f>IF(AQ141="1",BH141,0)</f>
        <v>0</v>
      </c>
      <c r="AC141" s="34">
        <f>IF(AQ141="1",BI141,0)</f>
        <v>0</v>
      </c>
      <c r="AD141" s="34">
        <f>IF(AQ141="7",BH141,0)</f>
        <v>0</v>
      </c>
      <c r="AE141" s="34">
        <f>IF(AQ141="7",BI141,0)</f>
        <v>0</v>
      </c>
      <c r="AF141" s="34">
        <f>IF(AQ141="2",BH141,0)</f>
        <v>0</v>
      </c>
      <c r="AG141" s="34">
        <f>IF(AQ141="2",BI141,0)</f>
        <v>0</v>
      </c>
      <c r="AH141" s="34">
        <f>IF(AQ141="0",BJ141,0)</f>
        <v>0</v>
      </c>
      <c r="AI141" s="28" t="s">
        <v>1020</v>
      </c>
      <c r="AJ141" s="18">
        <f>IF(AN141=0,K141,0)</f>
        <v>0</v>
      </c>
      <c r="AK141" s="18">
        <f>IF(AN141=15,K141,0)</f>
        <v>0</v>
      </c>
      <c r="AL141" s="18">
        <f>IF(AN141=21,K141,0)</f>
        <v>0</v>
      </c>
      <c r="AN141" s="34">
        <v>21</v>
      </c>
      <c r="AO141" s="34">
        <f>H141*0.509217758985201</f>
        <v>0</v>
      </c>
      <c r="AP141" s="34">
        <f>H141*(1-0.509217758985201)</f>
        <v>0</v>
      </c>
      <c r="AQ141" s="29" t="s">
        <v>12</v>
      </c>
      <c r="AV141" s="34">
        <f>AW141+AX141</f>
        <v>0</v>
      </c>
      <c r="AW141" s="34">
        <f>G141*AO141</f>
        <v>0</v>
      </c>
      <c r="AX141" s="34">
        <f>G141*AP141</f>
        <v>0</v>
      </c>
      <c r="AY141" s="35" t="s">
        <v>1037</v>
      </c>
      <c r="AZ141" s="35" t="s">
        <v>1067</v>
      </c>
      <c r="BA141" s="28" t="s">
        <v>1085</v>
      </c>
      <c r="BC141" s="34">
        <f>AW141+AX141</f>
        <v>0</v>
      </c>
      <c r="BD141" s="34">
        <f>H141/(100-BE141)*100</f>
        <v>0</v>
      </c>
      <c r="BE141" s="34">
        <v>0</v>
      </c>
      <c r="BF141" s="34">
        <f>141</f>
        <v>141</v>
      </c>
      <c r="BH141" s="18">
        <f>G141*AO141</f>
        <v>0</v>
      </c>
      <c r="BI141" s="18">
        <f>G141*AP141</f>
        <v>0</v>
      </c>
      <c r="BJ141" s="18">
        <f>G141*H141</f>
        <v>0</v>
      </c>
    </row>
    <row r="142" spans="3:7" ht="12.75">
      <c r="C142" s="101" t="s">
        <v>645</v>
      </c>
      <c r="D142" s="102"/>
      <c r="E142" s="102"/>
      <c r="G142" s="64">
        <v>10.5</v>
      </c>
    </row>
    <row r="143" spans="1:62" ht="12.75">
      <c r="A143" s="5" t="s">
        <v>59</v>
      </c>
      <c r="B143" s="5" t="s">
        <v>376</v>
      </c>
      <c r="C143" s="99" t="s">
        <v>646</v>
      </c>
      <c r="D143" s="100"/>
      <c r="E143" s="100"/>
      <c r="F143" s="5" t="s">
        <v>986</v>
      </c>
      <c r="G143" s="63">
        <v>10.5</v>
      </c>
      <c r="H143" s="18">
        <v>0</v>
      </c>
      <c r="I143" s="18">
        <f>G143*AO143</f>
        <v>0</v>
      </c>
      <c r="J143" s="18">
        <f>G143*AP143</f>
        <v>0</v>
      </c>
      <c r="K143" s="18">
        <f>G143*H143</f>
        <v>0</v>
      </c>
      <c r="L143" s="29"/>
      <c r="Z143" s="34">
        <f>IF(AQ143="5",BJ143,0)</f>
        <v>0</v>
      </c>
      <c r="AB143" s="34">
        <f>IF(AQ143="1",BH143,0)</f>
        <v>0</v>
      </c>
      <c r="AC143" s="34">
        <f>IF(AQ143="1",BI143,0)</f>
        <v>0</v>
      </c>
      <c r="AD143" s="34">
        <f>IF(AQ143="7",BH143,0)</f>
        <v>0</v>
      </c>
      <c r="AE143" s="34">
        <f>IF(AQ143="7",BI143,0)</f>
        <v>0</v>
      </c>
      <c r="AF143" s="34">
        <f>IF(AQ143="2",BH143,0)</f>
        <v>0</v>
      </c>
      <c r="AG143" s="34">
        <f>IF(AQ143="2",BI143,0)</f>
        <v>0</v>
      </c>
      <c r="AH143" s="34">
        <f>IF(AQ143="0",BJ143,0)</f>
        <v>0</v>
      </c>
      <c r="AI143" s="28" t="s">
        <v>1020</v>
      </c>
      <c r="AJ143" s="18">
        <f>IF(AN143=0,K143,0)</f>
        <v>0</v>
      </c>
      <c r="AK143" s="18">
        <f>IF(AN143=15,K143,0)</f>
        <v>0</v>
      </c>
      <c r="AL143" s="18">
        <f>IF(AN143=21,K143,0)</f>
        <v>0</v>
      </c>
      <c r="AN143" s="34">
        <v>21</v>
      </c>
      <c r="AO143" s="34">
        <f>H143*0.336584362139918</f>
        <v>0</v>
      </c>
      <c r="AP143" s="34">
        <f>H143*(1-0.336584362139918)</f>
        <v>0</v>
      </c>
      <c r="AQ143" s="29" t="s">
        <v>12</v>
      </c>
      <c r="AV143" s="34">
        <f>AW143+AX143</f>
        <v>0</v>
      </c>
      <c r="AW143" s="34">
        <f>G143*AO143</f>
        <v>0</v>
      </c>
      <c r="AX143" s="34">
        <f>G143*AP143</f>
        <v>0</v>
      </c>
      <c r="AY143" s="35" t="s">
        <v>1037</v>
      </c>
      <c r="AZ143" s="35" t="s">
        <v>1067</v>
      </c>
      <c r="BA143" s="28" t="s">
        <v>1085</v>
      </c>
      <c r="BC143" s="34">
        <f>AW143+AX143</f>
        <v>0</v>
      </c>
      <c r="BD143" s="34">
        <f>H143/(100-BE143)*100</f>
        <v>0</v>
      </c>
      <c r="BE143" s="34">
        <v>0</v>
      </c>
      <c r="BF143" s="34">
        <f>143</f>
        <v>143</v>
      </c>
      <c r="BH143" s="18">
        <f>G143*AO143</f>
        <v>0</v>
      </c>
      <c r="BI143" s="18">
        <f>G143*AP143</f>
        <v>0</v>
      </c>
      <c r="BJ143" s="18">
        <f>G143*H143</f>
        <v>0</v>
      </c>
    </row>
    <row r="144" spans="3:7" ht="12.75">
      <c r="C144" s="101" t="s">
        <v>645</v>
      </c>
      <c r="D144" s="102"/>
      <c r="E144" s="102"/>
      <c r="G144" s="64">
        <v>10.5</v>
      </c>
    </row>
    <row r="145" spans="1:62" ht="12.75">
      <c r="A145" s="5" t="s">
        <v>60</v>
      </c>
      <c r="B145" s="5" t="s">
        <v>377</v>
      </c>
      <c r="C145" s="99" t="s">
        <v>647</v>
      </c>
      <c r="D145" s="100"/>
      <c r="E145" s="100"/>
      <c r="F145" s="5" t="s">
        <v>984</v>
      </c>
      <c r="G145" s="63">
        <v>6.228</v>
      </c>
      <c r="H145" s="18">
        <v>0</v>
      </c>
      <c r="I145" s="18">
        <f>G145*AO145</f>
        <v>0</v>
      </c>
      <c r="J145" s="18">
        <f>G145*AP145</f>
        <v>0</v>
      </c>
      <c r="K145" s="18">
        <f>G145*H145</f>
        <v>0</v>
      </c>
      <c r="L145" s="29"/>
      <c r="Z145" s="34">
        <f>IF(AQ145="5",BJ145,0)</f>
        <v>0</v>
      </c>
      <c r="AB145" s="34">
        <f>IF(AQ145="1",BH145,0)</f>
        <v>0</v>
      </c>
      <c r="AC145" s="34">
        <f>IF(AQ145="1",BI145,0)</f>
        <v>0</v>
      </c>
      <c r="AD145" s="34">
        <f>IF(AQ145="7",BH145,0)</f>
        <v>0</v>
      </c>
      <c r="AE145" s="34">
        <f>IF(AQ145="7",BI145,0)</f>
        <v>0</v>
      </c>
      <c r="AF145" s="34">
        <f>IF(AQ145="2",BH145,0)</f>
        <v>0</v>
      </c>
      <c r="AG145" s="34">
        <f>IF(AQ145="2",BI145,0)</f>
        <v>0</v>
      </c>
      <c r="AH145" s="34">
        <f>IF(AQ145="0",BJ145,0)</f>
        <v>0</v>
      </c>
      <c r="AI145" s="28" t="s">
        <v>1020</v>
      </c>
      <c r="AJ145" s="18">
        <f>IF(AN145=0,K145,0)</f>
        <v>0</v>
      </c>
      <c r="AK145" s="18">
        <f>IF(AN145=15,K145,0)</f>
        <v>0</v>
      </c>
      <c r="AL145" s="18">
        <f>IF(AN145=21,K145,0)</f>
        <v>0</v>
      </c>
      <c r="AN145" s="34">
        <v>21</v>
      </c>
      <c r="AO145" s="34">
        <f>H145*0</f>
        <v>0</v>
      </c>
      <c r="AP145" s="34">
        <f>H145*(1-0)</f>
        <v>0</v>
      </c>
      <c r="AQ145" s="29" t="s">
        <v>12</v>
      </c>
      <c r="AV145" s="34">
        <f>AW145+AX145</f>
        <v>0</v>
      </c>
      <c r="AW145" s="34">
        <f>G145*AO145</f>
        <v>0</v>
      </c>
      <c r="AX145" s="34">
        <f>G145*AP145</f>
        <v>0</v>
      </c>
      <c r="AY145" s="35" t="s">
        <v>1037</v>
      </c>
      <c r="AZ145" s="35" t="s">
        <v>1067</v>
      </c>
      <c r="BA145" s="28" t="s">
        <v>1085</v>
      </c>
      <c r="BC145" s="34">
        <f>AW145+AX145</f>
        <v>0</v>
      </c>
      <c r="BD145" s="34">
        <f>H145/(100-BE145)*100</f>
        <v>0</v>
      </c>
      <c r="BE145" s="34">
        <v>0</v>
      </c>
      <c r="BF145" s="34">
        <f>145</f>
        <v>145</v>
      </c>
      <c r="BH145" s="18">
        <f>G145*AO145</f>
        <v>0</v>
      </c>
      <c r="BI145" s="18">
        <f>G145*AP145</f>
        <v>0</v>
      </c>
      <c r="BJ145" s="18">
        <f>G145*H145</f>
        <v>0</v>
      </c>
    </row>
    <row r="146" spans="3:7" ht="12.75">
      <c r="C146" s="101" t="s">
        <v>648</v>
      </c>
      <c r="D146" s="102"/>
      <c r="E146" s="102"/>
      <c r="G146" s="64">
        <v>6.228</v>
      </c>
    </row>
    <row r="147" spans="1:62" ht="12.75">
      <c r="A147" s="5" t="s">
        <v>61</v>
      </c>
      <c r="B147" s="5" t="s">
        <v>378</v>
      </c>
      <c r="C147" s="99" t="s">
        <v>649</v>
      </c>
      <c r="D147" s="100"/>
      <c r="E147" s="100"/>
      <c r="F147" s="5" t="s">
        <v>984</v>
      </c>
      <c r="G147" s="63">
        <v>6.228</v>
      </c>
      <c r="H147" s="18">
        <v>0</v>
      </c>
      <c r="I147" s="18">
        <f>G147*AO147</f>
        <v>0</v>
      </c>
      <c r="J147" s="18">
        <f>G147*AP147</f>
        <v>0</v>
      </c>
      <c r="K147" s="18">
        <f>G147*H147</f>
        <v>0</v>
      </c>
      <c r="L147" s="29"/>
      <c r="Z147" s="34">
        <f>IF(AQ147="5",BJ147,0)</f>
        <v>0</v>
      </c>
      <c r="AB147" s="34">
        <f>IF(AQ147="1",BH147,0)</f>
        <v>0</v>
      </c>
      <c r="AC147" s="34">
        <f>IF(AQ147="1",BI147,0)</f>
        <v>0</v>
      </c>
      <c r="AD147" s="34">
        <f>IF(AQ147="7",BH147,0)</f>
        <v>0</v>
      </c>
      <c r="AE147" s="34">
        <f>IF(AQ147="7",BI147,0)</f>
        <v>0</v>
      </c>
      <c r="AF147" s="34">
        <f>IF(AQ147="2",BH147,0)</f>
        <v>0</v>
      </c>
      <c r="AG147" s="34">
        <f>IF(AQ147="2",BI147,0)</f>
        <v>0</v>
      </c>
      <c r="AH147" s="34">
        <f>IF(AQ147="0",BJ147,0)</f>
        <v>0</v>
      </c>
      <c r="AI147" s="28" t="s">
        <v>1020</v>
      </c>
      <c r="AJ147" s="18">
        <f>IF(AN147=0,K147,0)</f>
        <v>0</v>
      </c>
      <c r="AK147" s="18">
        <f>IF(AN147=15,K147,0)</f>
        <v>0</v>
      </c>
      <c r="AL147" s="18">
        <f>IF(AN147=21,K147,0)</f>
        <v>0</v>
      </c>
      <c r="AN147" s="34">
        <v>21</v>
      </c>
      <c r="AO147" s="34">
        <f>H147*0</f>
        <v>0</v>
      </c>
      <c r="AP147" s="34">
        <f>H147*(1-0)</f>
        <v>0</v>
      </c>
      <c r="AQ147" s="29" t="s">
        <v>12</v>
      </c>
      <c r="AV147" s="34">
        <f>AW147+AX147</f>
        <v>0</v>
      </c>
      <c r="AW147" s="34">
        <f>G147*AO147</f>
        <v>0</v>
      </c>
      <c r="AX147" s="34">
        <f>G147*AP147</f>
        <v>0</v>
      </c>
      <c r="AY147" s="35" t="s">
        <v>1037</v>
      </c>
      <c r="AZ147" s="35" t="s">
        <v>1067</v>
      </c>
      <c r="BA147" s="28" t="s">
        <v>1085</v>
      </c>
      <c r="BC147" s="34">
        <f>AW147+AX147</f>
        <v>0</v>
      </c>
      <c r="BD147" s="34">
        <f>H147/(100-BE147)*100</f>
        <v>0</v>
      </c>
      <c r="BE147" s="34">
        <v>0</v>
      </c>
      <c r="BF147" s="34">
        <f>147</f>
        <v>147</v>
      </c>
      <c r="BH147" s="18">
        <f>G147*AO147</f>
        <v>0</v>
      </c>
      <c r="BI147" s="18">
        <f>G147*AP147</f>
        <v>0</v>
      </c>
      <c r="BJ147" s="18">
        <f>G147*H147</f>
        <v>0</v>
      </c>
    </row>
    <row r="148" spans="3:7" ht="12.75">
      <c r="C148" s="101" t="s">
        <v>648</v>
      </c>
      <c r="D148" s="102"/>
      <c r="E148" s="102"/>
      <c r="G148" s="64">
        <v>6.228</v>
      </c>
    </row>
    <row r="149" spans="1:62" ht="12.75">
      <c r="A149" s="5" t="s">
        <v>62</v>
      </c>
      <c r="B149" s="5" t="s">
        <v>379</v>
      </c>
      <c r="C149" s="99" t="s">
        <v>650</v>
      </c>
      <c r="D149" s="100"/>
      <c r="E149" s="100"/>
      <c r="F149" s="5" t="s">
        <v>987</v>
      </c>
      <c r="G149" s="63">
        <v>0.092</v>
      </c>
      <c r="H149" s="18">
        <v>0</v>
      </c>
      <c r="I149" s="18">
        <f>G149*AO149</f>
        <v>0</v>
      </c>
      <c r="J149" s="18">
        <f>G149*AP149</f>
        <v>0</v>
      </c>
      <c r="K149" s="18">
        <f>G149*H149</f>
        <v>0</v>
      </c>
      <c r="L149" s="29"/>
      <c r="Z149" s="34">
        <f>IF(AQ149="5",BJ149,0)</f>
        <v>0</v>
      </c>
      <c r="AB149" s="34">
        <f>IF(AQ149="1",BH149,0)</f>
        <v>0</v>
      </c>
      <c r="AC149" s="34">
        <f>IF(AQ149="1",BI149,0)</f>
        <v>0</v>
      </c>
      <c r="AD149" s="34">
        <f>IF(AQ149="7",BH149,0)</f>
        <v>0</v>
      </c>
      <c r="AE149" s="34">
        <f>IF(AQ149="7",BI149,0)</f>
        <v>0</v>
      </c>
      <c r="AF149" s="34">
        <f>IF(AQ149="2",BH149,0)</f>
        <v>0</v>
      </c>
      <c r="AG149" s="34">
        <f>IF(AQ149="2",BI149,0)</f>
        <v>0</v>
      </c>
      <c r="AH149" s="34">
        <f>IF(AQ149="0",BJ149,0)</f>
        <v>0</v>
      </c>
      <c r="AI149" s="28" t="s">
        <v>1020</v>
      </c>
      <c r="AJ149" s="18">
        <f>IF(AN149=0,K149,0)</f>
        <v>0</v>
      </c>
      <c r="AK149" s="18">
        <f>IF(AN149=15,K149,0)</f>
        <v>0</v>
      </c>
      <c r="AL149" s="18">
        <f>IF(AN149=21,K149,0)</f>
        <v>0</v>
      </c>
      <c r="AN149" s="34">
        <v>21</v>
      </c>
      <c r="AO149" s="34">
        <f>H149*0</f>
        <v>0</v>
      </c>
      <c r="AP149" s="34">
        <f>H149*(1-0)</f>
        <v>0</v>
      </c>
      <c r="AQ149" s="29" t="s">
        <v>10</v>
      </c>
      <c r="AV149" s="34">
        <f>AW149+AX149</f>
        <v>0</v>
      </c>
      <c r="AW149" s="34">
        <f>G149*AO149</f>
        <v>0</v>
      </c>
      <c r="AX149" s="34">
        <f>G149*AP149</f>
        <v>0</v>
      </c>
      <c r="AY149" s="35" t="s">
        <v>1037</v>
      </c>
      <c r="AZ149" s="35" t="s">
        <v>1067</v>
      </c>
      <c r="BA149" s="28" t="s">
        <v>1085</v>
      </c>
      <c r="BC149" s="34">
        <f>AW149+AX149</f>
        <v>0</v>
      </c>
      <c r="BD149" s="34">
        <f>H149/(100-BE149)*100</f>
        <v>0</v>
      </c>
      <c r="BE149" s="34">
        <v>0</v>
      </c>
      <c r="BF149" s="34">
        <f>149</f>
        <v>149</v>
      </c>
      <c r="BH149" s="18">
        <f>G149*AO149</f>
        <v>0</v>
      </c>
      <c r="BI149" s="18">
        <f>G149*AP149</f>
        <v>0</v>
      </c>
      <c r="BJ149" s="18">
        <f>G149*H149</f>
        <v>0</v>
      </c>
    </row>
    <row r="150" spans="3:7" ht="12.75">
      <c r="C150" s="101" t="s">
        <v>651</v>
      </c>
      <c r="D150" s="102"/>
      <c r="E150" s="102"/>
      <c r="G150" s="64">
        <v>0.092</v>
      </c>
    </row>
    <row r="151" spans="1:47" ht="12.75">
      <c r="A151" s="4"/>
      <c r="B151" s="14" t="s">
        <v>380</v>
      </c>
      <c r="C151" s="97" t="s">
        <v>652</v>
      </c>
      <c r="D151" s="98"/>
      <c r="E151" s="98"/>
      <c r="F151" s="4" t="s">
        <v>5</v>
      </c>
      <c r="G151" s="4" t="s">
        <v>5</v>
      </c>
      <c r="H151" s="4" t="s">
        <v>5</v>
      </c>
      <c r="I151" s="37">
        <f>SUM(I152:I159)</f>
        <v>0</v>
      </c>
      <c r="J151" s="37">
        <f>SUM(J152:J159)</f>
        <v>0</v>
      </c>
      <c r="K151" s="37">
        <f>SUM(K152:K159)</f>
        <v>0</v>
      </c>
      <c r="L151" s="28"/>
      <c r="AI151" s="28" t="s">
        <v>1020</v>
      </c>
      <c r="AS151" s="37">
        <f>SUM(AJ152:AJ159)</f>
        <v>0</v>
      </c>
      <c r="AT151" s="37">
        <f>SUM(AK152:AK159)</f>
        <v>0</v>
      </c>
      <c r="AU151" s="37">
        <f>SUM(AL152:AL159)</f>
        <v>0</v>
      </c>
    </row>
    <row r="152" spans="1:62" ht="12.75">
      <c r="A152" s="5" t="s">
        <v>63</v>
      </c>
      <c r="B152" s="5" t="s">
        <v>381</v>
      </c>
      <c r="C152" s="99" t="s">
        <v>653</v>
      </c>
      <c r="D152" s="100"/>
      <c r="E152" s="100"/>
      <c r="F152" s="5" t="s">
        <v>985</v>
      </c>
      <c r="G152" s="63">
        <v>58.261</v>
      </c>
      <c r="H152" s="18">
        <v>0</v>
      </c>
      <c r="I152" s="18">
        <f>G152*AO152</f>
        <v>0</v>
      </c>
      <c r="J152" s="18">
        <f>G152*AP152</f>
        <v>0</v>
      </c>
      <c r="K152" s="18">
        <f>G152*H152</f>
        <v>0</v>
      </c>
      <c r="L152" s="29"/>
      <c r="Z152" s="34">
        <f>IF(AQ152="5",BJ152,0)</f>
        <v>0</v>
      </c>
      <c r="AB152" s="34">
        <f>IF(AQ152="1",BH152,0)</f>
        <v>0</v>
      </c>
      <c r="AC152" s="34">
        <f>IF(AQ152="1",BI152,0)</f>
        <v>0</v>
      </c>
      <c r="AD152" s="34">
        <f>IF(AQ152="7",BH152,0)</f>
        <v>0</v>
      </c>
      <c r="AE152" s="34">
        <f>IF(AQ152="7",BI152,0)</f>
        <v>0</v>
      </c>
      <c r="AF152" s="34">
        <f>IF(AQ152="2",BH152,0)</f>
        <v>0</v>
      </c>
      <c r="AG152" s="34">
        <f>IF(AQ152="2",BI152,0)</f>
        <v>0</v>
      </c>
      <c r="AH152" s="34">
        <f>IF(AQ152="0",BJ152,0)</f>
        <v>0</v>
      </c>
      <c r="AI152" s="28" t="s">
        <v>1020</v>
      </c>
      <c r="AJ152" s="18">
        <f>IF(AN152=0,K152,0)</f>
        <v>0</v>
      </c>
      <c r="AK152" s="18">
        <f>IF(AN152=15,K152,0)</f>
        <v>0</v>
      </c>
      <c r="AL152" s="18">
        <f>IF(AN152=21,K152,0)</f>
        <v>0</v>
      </c>
      <c r="AN152" s="34">
        <v>21</v>
      </c>
      <c r="AO152" s="34">
        <f>H152*0.736931264634133</f>
        <v>0</v>
      </c>
      <c r="AP152" s="34">
        <f>H152*(1-0.736931264634133)</f>
        <v>0</v>
      </c>
      <c r="AQ152" s="29" t="s">
        <v>12</v>
      </c>
      <c r="AV152" s="34">
        <f>AW152+AX152</f>
        <v>0</v>
      </c>
      <c r="AW152" s="34">
        <f>G152*AO152</f>
        <v>0</v>
      </c>
      <c r="AX152" s="34">
        <f>G152*AP152</f>
        <v>0</v>
      </c>
      <c r="AY152" s="35" t="s">
        <v>1038</v>
      </c>
      <c r="AZ152" s="35" t="s">
        <v>1067</v>
      </c>
      <c r="BA152" s="28" t="s">
        <v>1085</v>
      </c>
      <c r="BC152" s="34">
        <f>AW152+AX152</f>
        <v>0</v>
      </c>
      <c r="BD152" s="34">
        <f>H152/(100-BE152)*100</f>
        <v>0</v>
      </c>
      <c r="BE152" s="34">
        <v>0</v>
      </c>
      <c r="BF152" s="34">
        <f>152</f>
        <v>152</v>
      </c>
      <c r="BH152" s="18">
        <f>G152*AO152</f>
        <v>0</v>
      </c>
      <c r="BI152" s="18">
        <f>G152*AP152</f>
        <v>0</v>
      </c>
      <c r="BJ152" s="18">
        <f>G152*H152</f>
        <v>0</v>
      </c>
    </row>
    <row r="153" spans="3:7" ht="12.75">
      <c r="C153" s="101" t="s">
        <v>654</v>
      </c>
      <c r="D153" s="102"/>
      <c r="E153" s="102"/>
      <c r="G153" s="64">
        <v>58.261</v>
      </c>
    </row>
    <row r="154" spans="1:62" ht="12.75">
      <c r="A154" s="5" t="s">
        <v>64</v>
      </c>
      <c r="B154" s="5" t="s">
        <v>382</v>
      </c>
      <c r="C154" s="99" t="s">
        <v>655</v>
      </c>
      <c r="D154" s="100"/>
      <c r="E154" s="100"/>
      <c r="F154" s="5" t="s">
        <v>984</v>
      </c>
      <c r="G154" s="63">
        <v>17.82</v>
      </c>
      <c r="H154" s="18">
        <v>0</v>
      </c>
      <c r="I154" s="18">
        <f>G154*AO154</f>
        <v>0</v>
      </c>
      <c r="J154" s="18">
        <f>G154*AP154</f>
        <v>0</v>
      </c>
      <c r="K154" s="18">
        <f>G154*H154</f>
        <v>0</v>
      </c>
      <c r="L154" s="29"/>
      <c r="Z154" s="34">
        <f>IF(AQ154="5",BJ154,0)</f>
        <v>0</v>
      </c>
      <c r="AB154" s="34">
        <f>IF(AQ154="1",BH154,0)</f>
        <v>0</v>
      </c>
      <c r="AC154" s="34">
        <f>IF(AQ154="1",BI154,0)</f>
        <v>0</v>
      </c>
      <c r="AD154" s="34">
        <f>IF(AQ154="7",BH154,0)</f>
        <v>0</v>
      </c>
      <c r="AE154" s="34">
        <f>IF(AQ154="7",BI154,0)</f>
        <v>0</v>
      </c>
      <c r="AF154" s="34">
        <f>IF(AQ154="2",BH154,0)</f>
        <v>0</v>
      </c>
      <c r="AG154" s="34">
        <f>IF(AQ154="2",BI154,0)</f>
        <v>0</v>
      </c>
      <c r="AH154" s="34">
        <f>IF(AQ154="0",BJ154,0)</f>
        <v>0</v>
      </c>
      <c r="AI154" s="28" t="s">
        <v>1020</v>
      </c>
      <c r="AJ154" s="18">
        <f>IF(AN154=0,K154,0)</f>
        <v>0</v>
      </c>
      <c r="AK154" s="18">
        <f>IF(AN154=15,K154,0)</f>
        <v>0</v>
      </c>
      <c r="AL154" s="18">
        <f>IF(AN154=21,K154,0)</f>
        <v>0</v>
      </c>
      <c r="AN154" s="34">
        <v>21</v>
      </c>
      <c r="AO154" s="34">
        <f>H154*0.268079470198675</f>
        <v>0</v>
      </c>
      <c r="AP154" s="34">
        <f>H154*(1-0.268079470198675)</f>
        <v>0</v>
      </c>
      <c r="AQ154" s="29" t="s">
        <v>12</v>
      </c>
      <c r="AV154" s="34">
        <f>AW154+AX154</f>
        <v>0</v>
      </c>
      <c r="AW154" s="34">
        <f>G154*AO154</f>
        <v>0</v>
      </c>
      <c r="AX154" s="34">
        <f>G154*AP154</f>
        <v>0</v>
      </c>
      <c r="AY154" s="35" t="s">
        <v>1038</v>
      </c>
      <c r="AZ154" s="35" t="s">
        <v>1067</v>
      </c>
      <c r="BA154" s="28" t="s">
        <v>1085</v>
      </c>
      <c r="BC154" s="34">
        <f>AW154+AX154</f>
        <v>0</v>
      </c>
      <c r="BD154" s="34">
        <f>H154/(100-BE154)*100</f>
        <v>0</v>
      </c>
      <c r="BE154" s="34">
        <v>0</v>
      </c>
      <c r="BF154" s="34">
        <f>154</f>
        <v>154</v>
      </c>
      <c r="BH154" s="18">
        <f>G154*AO154</f>
        <v>0</v>
      </c>
      <c r="BI154" s="18">
        <f>G154*AP154</f>
        <v>0</v>
      </c>
      <c r="BJ154" s="18">
        <f>G154*H154</f>
        <v>0</v>
      </c>
    </row>
    <row r="155" spans="3:7" ht="12.75">
      <c r="C155" s="101" t="s">
        <v>624</v>
      </c>
      <c r="D155" s="102"/>
      <c r="E155" s="102"/>
      <c r="G155" s="64">
        <v>17.82</v>
      </c>
    </row>
    <row r="156" spans="1:62" ht="12.75">
      <c r="A156" s="6" t="s">
        <v>65</v>
      </c>
      <c r="B156" s="6" t="s">
        <v>383</v>
      </c>
      <c r="C156" s="103" t="s">
        <v>656</v>
      </c>
      <c r="D156" s="104"/>
      <c r="E156" s="104"/>
      <c r="F156" s="6" t="s">
        <v>985</v>
      </c>
      <c r="G156" s="65">
        <v>0.727</v>
      </c>
      <c r="H156" s="19">
        <v>0</v>
      </c>
      <c r="I156" s="19">
        <f>G156*AO156</f>
        <v>0</v>
      </c>
      <c r="J156" s="19">
        <f>G156*AP156</f>
        <v>0</v>
      </c>
      <c r="K156" s="19">
        <f>G156*H156</f>
        <v>0</v>
      </c>
      <c r="L156" s="30"/>
      <c r="Z156" s="34">
        <f>IF(AQ156="5",BJ156,0)</f>
        <v>0</v>
      </c>
      <c r="AB156" s="34">
        <f>IF(AQ156="1",BH156,0)</f>
        <v>0</v>
      </c>
      <c r="AC156" s="34">
        <f>IF(AQ156="1",BI156,0)</f>
        <v>0</v>
      </c>
      <c r="AD156" s="34">
        <f>IF(AQ156="7",BH156,0)</f>
        <v>0</v>
      </c>
      <c r="AE156" s="34">
        <f>IF(AQ156="7",BI156,0)</f>
        <v>0</v>
      </c>
      <c r="AF156" s="34">
        <f>IF(AQ156="2",BH156,0)</f>
        <v>0</v>
      </c>
      <c r="AG156" s="34">
        <f>IF(AQ156="2",BI156,0)</f>
        <v>0</v>
      </c>
      <c r="AH156" s="34">
        <f>IF(AQ156="0",BJ156,0)</f>
        <v>0</v>
      </c>
      <c r="AI156" s="28" t="s">
        <v>1020</v>
      </c>
      <c r="AJ156" s="19">
        <f>IF(AN156=0,K156,0)</f>
        <v>0</v>
      </c>
      <c r="AK156" s="19">
        <f>IF(AN156=15,K156,0)</f>
        <v>0</v>
      </c>
      <c r="AL156" s="19">
        <f>IF(AN156=21,K156,0)</f>
        <v>0</v>
      </c>
      <c r="AN156" s="34">
        <v>21</v>
      </c>
      <c r="AO156" s="34">
        <f>H156*1</f>
        <v>0</v>
      </c>
      <c r="AP156" s="34">
        <f>H156*(1-1)</f>
        <v>0</v>
      </c>
      <c r="AQ156" s="30" t="s">
        <v>12</v>
      </c>
      <c r="AV156" s="34">
        <f>AW156+AX156</f>
        <v>0</v>
      </c>
      <c r="AW156" s="34">
        <f>G156*AO156</f>
        <v>0</v>
      </c>
      <c r="AX156" s="34">
        <f>G156*AP156</f>
        <v>0</v>
      </c>
      <c r="AY156" s="35" t="s">
        <v>1038</v>
      </c>
      <c r="AZ156" s="35" t="s">
        <v>1067</v>
      </c>
      <c r="BA156" s="28" t="s">
        <v>1085</v>
      </c>
      <c r="BC156" s="34">
        <f>AW156+AX156</f>
        <v>0</v>
      </c>
      <c r="BD156" s="34">
        <f>H156/(100-BE156)*100</f>
        <v>0</v>
      </c>
      <c r="BE156" s="34">
        <v>0</v>
      </c>
      <c r="BF156" s="34">
        <f>156</f>
        <v>156</v>
      </c>
      <c r="BH156" s="19">
        <f>G156*AO156</f>
        <v>0</v>
      </c>
      <c r="BI156" s="19">
        <f>G156*AP156</f>
        <v>0</v>
      </c>
      <c r="BJ156" s="19">
        <f>G156*H156</f>
        <v>0</v>
      </c>
    </row>
    <row r="157" spans="3:7" ht="12.75">
      <c r="C157" s="101" t="s">
        <v>657</v>
      </c>
      <c r="D157" s="102"/>
      <c r="E157" s="102"/>
      <c r="G157" s="64">
        <v>0.713</v>
      </c>
    </row>
    <row r="158" spans="3:7" ht="12.75">
      <c r="C158" s="101" t="s">
        <v>658</v>
      </c>
      <c r="D158" s="102"/>
      <c r="E158" s="102"/>
      <c r="G158" s="64">
        <v>0.014</v>
      </c>
    </row>
    <row r="159" spans="1:62" ht="12.75">
      <c r="A159" s="5" t="s">
        <v>66</v>
      </c>
      <c r="B159" s="5" t="s">
        <v>384</v>
      </c>
      <c r="C159" s="99" t="s">
        <v>659</v>
      </c>
      <c r="D159" s="100"/>
      <c r="E159" s="100"/>
      <c r="F159" s="5" t="s">
        <v>987</v>
      </c>
      <c r="G159" s="63">
        <v>4.34</v>
      </c>
      <c r="H159" s="18">
        <v>0</v>
      </c>
      <c r="I159" s="18">
        <f>G159*AO159</f>
        <v>0</v>
      </c>
      <c r="J159" s="18">
        <f>G159*AP159</f>
        <v>0</v>
      </c>
      <c r="K159" s="18">
        <f>G159*H159</f>
        <v>0</v>
      </c>
      <c r="L159" s="29"/>
      <c r="Z159" s="34">
        <f>IF(AQ159="5",BJ159,0)</f>
        <v>0</v>
      </c>
      <c r="AB159" s="34">
        <f>IF(AQ159="1",BH159,0)</f>
        <v>0</v>
      </c>
      <c r="AC159" s="34">
        <f>IF(AQ159="1",BI159,0)</f>
        <v>0</v>
      </c>
      <c r="AD159" s="34">
        <f>IF(AQ159="7",BH159,0)</f>
        <v>0</v>
      </c>
      <c r="AE159" s="34">
        <f>IF(AQ159="7",BI159,0)</f>
        <v>0</v>
      </c>
      <c r="AF159" s="34">
        <f>IF(AQ159="2",BH159,0)</f>
        <v>0</v>
      </c>
      <c r="AG159" s="34">
        <f>IF(AQ159="2",BI159,0)</f>
        <v>0</v>
      </c>
      <c r="AH159" s="34">
        <f>IF(AQ159="0",BJ159,0)</f>
        <v>0</v>
      </c>
      <c r="AI159" s="28" t="s">
        <v>1020</v>
      </c>
      <c r="AJ159" s="18">
        <f>IF(AN159=0,K159,0)</f>
        <v>0</v>
      </c>
      <c r="AK159" s="18">
        <f>IF(AN159=15,K159,0)</f>
        <v>0</v>
      </c>
      <c r="AL159" s="18">
        <f>IF(AN159=21,K159,0)</f>
        <v>0</v>
      </c>
      <c r="AN159" s="34">
        <v>21</v>
      </c>
      <c r="AO159" s="34">
        <f>H159*0</f>
        <v>0</v>
      </c>
      <c r="AP159" s="34">
        <f>H159*(1-0)</f>
        <v>0</v>
      </c>
      <c r="AQ159" s="29" t="s">
        <v>10</v>
      </c>
      <c r="AV159" s="34">
        <f>AW159+AX159</f>
        <v>0</v>
      </c>
      <c r="AW159" s="34">
        <f>G159*AO159</f>
        <v>0</v>
      </c>
      <c r="AX159" s="34">
        <f>G159*AP159</f>
        <v>0</v>
      </c>
      <c r="AY159" s="35" t="s">
        <v>1038</v>
      </c>
      <c r="AZ159" s="35" t="s">
        <v>1067</v>
      </c>
      <c r="BA159" s="28" t="s">
        <v>1085</v>
      </c>
      <c r="BC159" s="34">
        <f>AW159+AX159</f>
        <v>0</v>
      </c>
      <c r="BD159" s="34">
        <f>H159/(100-BE159)*100</f>
        <v>0</v>
      </c>
      <c r="BE159" s="34">
        <v>0</v>
      </c>
      <c r="BF159" s="34">
        <f>159</f>
        <v>159</v>
      </c>
      <c r="BH159" s="18">
        <f>G159*AO159</f>
        <v>0</v>
      </c>
      <c r="BI159" s="18">
        <f>G159*AP159</f>
        <v>0</v>
      </c>
      <c r="BJ159" s="18">
        <f>G159*H159</f>
        <v>0</v>
      </c>
    </row>
    <row r="160" spans="3:7" ht="12.75">
      <c r="C160" s="101" t="s">
        <v>660</v>
      </c>
      <c r="D160" s="102"/>
      <c r="E160" s="102"/>
      <c r="G160" s="64">
        <v>4.34</v>
      </c>
    </row>
    <row r="161" spans="1:47" ht="12.75">
      <c r="A161" s="4"/>
      <c r="B161" s="14" t="s">
        <v>385</v>
      </c>
      <c r="C161" s="97" t="s">
        <v>661</v>
      </c>
      <c r="D161" s="98"/>
      <c r="E161" s="98"/>
      <c r="F161" s="4" t="s">
        <v>5</v>
      </c>
      <c r="G161" s="4" t="s">
        <v>5</v>
      </c>
      <c r="H161" s="4" t="s">
        <v>5</v>
      </c>
      <c r="I161" s="37">
        <f>SUM(I162:I170)</f>
        <v>0</v>
      </c>
      <c r="J161" s="37">
        <f>SUM(J162:J170)</f>
        <v>0</v>
      </c>
      <c r="K161" s="37">
        <f>SUM(K162:K170)</f>
        <v>0</v>
      </c>
      <c r="L161" s="28"/>
      <c r="AI161" s="28" t="s">
        <v>1020</v>
      </c>
      <c r="AS161" s="37">
        <f>SUM(AJ162:AJ170)</f>
        <v>0</v>
      </c>
      <c r="AT161" s="37">
        <f>SUM(AK162:AK170)</f>
        <v>0</v>
      </c>
      <c r="AU161" s="37">
        <f>SUM(AL162:AL170)</f>
        <v>0</v>
      </c>
    </row>
    <row r="162" spans="1:62" ht="12.75">
      <c r="A162" s="5" t="s">
        <v>67</v>
      </c>
      <c r="B162" s="5" t="s">
        <v>386</v>
      </c>
      <c r="C162" s="99" t="s">
        <v>662</v>
      </c>
      <c r="D162" s="100"/>
      <c r="E162" s="100"/>
      <c r="F162" s="5" t="s">
        <v>988</v>
      </c>
      <c r="G162" s="63">
        <v>3</v>
      </c>
      <c r="H162" s="18">
        <v>0</v>
      </c>
      <c r="I162" s="18">
        <f>G162*AO162</f>
        <v>0</v>
      </c>
      <c r="J162" s="18">
        <f>G162*AP162</f>
        <v>0</v>
      </c>
      <c r="K162" s="18">
        <f>G162*H162</f>
        <v>0</v>
      </c>
      <c r="L162" s="29"/>
      <c r="Z162" s="34">
        <f>IF(AQ162="5",BJ162,0)</f>
        <v>0</v>
      </c>
      <c r="AB162" s="34">
        <f>IF(AQ162="1",BH162,0)</f>
        <v>0</v>
      </c>
      <c r="AC162" s="34">
        <f>IF(AQ162="1",BI162,0)</f>
        <v>0</v>
      </c>
      <c r="AD162" s="34">
        <f>IF(AQ162="7",BH162,0)</f>
        <v>0</v>
      </c>
      <c r="AE162" s="34">
        <f>IF(AQ162="7",BI162,0)</f>
        <v>0</v>
      </c>
      <c r="AF162" s="34">
        <f>IF(AQ162="2",BH162,0)</f>
        <v>0</v>
      </c>
      <c r="AG162" s="34">
        <f>IF(AQ162="2",BI162,0)</f>
        <v>0</v>
      </c>
      <c r="AH162" s="34">
        <f>IF(AQ162="0",BJ162,0)</f>
        <v>0</v>
      </c>
      <c r="AI162" s="28" t="s">
        <v>1020</v>
      </c>
      <c r="AJ162" s="18">
        <f>IF(AN162=0,K162,0)</f>
        <v>0</v>
      </c>
      <c r="AK162" s="18">
        <f>IF(AN162=15,K162,0)</f>
        <v>0</v>
      </c>
      <c r="AL162" s="18">
        <f>IF(AN162=21,K162,0)</f>
        <v>0</v>
      </c>
      <c r="AN162" s="34">
        <v>21</v>
      </c>
      <c r="AO162" s="34">
        <f>H162*0.135416666666667</f>
        <v>0</v>
      </c>
      <c r="AP162" s="34">
        <f>H162*(1-0.135416666666667)</f>
        <v>0</v>
      </c>
      <c r="AQ162" s="29" t="s">
        <v>12</v>
      </c>
      <c r="AV162" s="34">
        <f>AW162+AX162</f>
        <v>0</v>
      </c>
      <c r="AW162" s="34">
        <f>G162*AO162</f>
        <v>0</v>
      </c>
      <c r="AX162" s="34">
        <f>G162*AP162</f>
        <v>0</v>
      </c>
      <c r="AY162" s="35" t="s">
        <v>1039</v>
      </c>
      <c r="AZ162" s="35" t="s">
        <v>1068</v>
      </c>
      <c r="BA162" s="28" t="s">
        <v>1085</v>
      </c>
      <c r="BC162" s="34">
        <f>AW162+AX162</f>
        <v>0</v>
      </c>
      <c r="BD162" s="34">
        <f>H162/(100-BE162)*100</f>
        <v>0</v>
      </c>
      <c r="BE162" s="34">
        <v>0</v>
      </c>
      <c r="BF162" s="34">
        <f>162</f>
        <v>162</v>
      </c>
      <c r="BH162" s="18">
        <f>G162*AO162</f>
        <v>0</v>
      </c>
      <c r="BI162" s="18">
        <f>G162*AP162</f>
        <v>0</v>
      </c>
      <c r="BJ162" s="18">
        <f>G162*H162</f>
        <v>0</v>
      </c>
    </row>
    <row r="163" spans="3:7" ht="12.75">
      <c r="C163" s="101" t="s">
        <v>8</v>
      </c>
      <c r="D163" s="102"/>
      <c r="E163" s="102"/>
      <c r="G163" s="64">
        <v>3</v>
      </c>
    </row>
    <row r="164" spans="1:62" ht="12.75">
      <c r="A164" s="5" t="s">
        <v>68</v>
      </c>
      <c r="B164" s="5" t="s">
        <v>387</v>
      </c>
      <c r="C164" s="99" t="s">
        <v>663</v>
      </c>
      <c r="D164" s="100"/>
      <c r="E164" s="100"/>
      <c r="F164" s="5" t="s">
        <v>988</v>
      </c>
      <c r="G164" s="63">
        <v>3</v>
      </c>
      <c r="H164" s="18">
        <v>0</v>
      </c>
      <c r="I164" s="18">
        <f>G164*AO164</f>
        <v>0</v>
      </c>
      <c r="J164" s="18">
        <f>G164*AP164</f>
        <v>0</v>
      </c>
      <c r="K164" s="18">
        <f>G164*H164</f>
        <v>0</v>
      </c>
      <c r="L164" s="29"/>
      <c r="Z164" s="34">
        <f>IF(AQ164="5",BJ164,0)</f>
        <v>0</v>
      </c>
      <c r="AB164" s="34">
        <f>IF(AQ164="1",BH164,0)</f>
        <v>0</v>
      </c>
      <c r="AC164" s="34">
        <f>IF(AQ164="1",BI164,0)</f>
        <v>0</v>
      </c>
      <c r="AD164" s="34">
        <f>IF(AQ164="7",BH164,0)</f>
        <v>0</v>
      </c>
      <c r="AE164" s="34">
        <f>IF(AQ164="7",BI164,0)</f>
        <v>0</v>
      </c>
      <c r="AF164" s="34">
        <f>IF(AQ164="2",BH164,0)</f>
        <v>0</v>
      </c>
      <c r="AG164" s="34">
        <f>IF(AQ164="2",BI164,0)</f>
        <v>0</v>
      </c>
      <c r="AH164" s="34">
        <f>IF(AQ164="0",BJ164,0)</f>
        <v>0</v>
      </c>
      <c r="AI164" s="28" t="s">
        <v>1020</v>
      </c>
      <c r="AJ164" s="18">
        <f>IF(AN164=0,K164,0)</f>
        <v>0</v>
      </c>
      <c r="AK164" s="18">
        <f>IF(AN164=15,K164,0)</f>
        <v>0</v>
      </c>
      <c r="AL164" s="18">
        <f>IF(AN164=21,K164,0)</f>
        <v>0</v>
      </c>
      <c r="AN164" s="34">
        <v>21</v>
      </c>
      <c r="AO164" s="34">
        <f>H164*0.23</f>
        <v>0</v>
      </c>
      <c r="AP164" s="34">
        <f>H164*(1-0.23)</f>
        <v>0</v>
      </c>
      <c r="AQ164" s="29" t="s">
        <v>12</v>
      </c>
      <c r="AV164" s="34">
        <f>AW164+AX164</f>
        <v>0</v>
      </c>
      <c r="AW164" s="34">
        <f>G164*AO164</f>
        <v>0</v>
      </c>
      <c r="AX164" s="34">
        <f>G164*AP164</f>
        <v>0</v>
      </c>
      <c r="AY164" s="35" t="s">
        <v>1039</v>
      </c>
      <c r="AZ164" s="35" t="s">
        <v>1068</v>
      </c>
      <c r="BA164" s="28" t="s">
        <v>1085</v>
      </c>
      <c r="BC164" s="34">
        <f>AW164+AX164</f>
        <v>0</v>
      </c>
      <c r="BD164" s="34">
        <f>H164/(100-BE164)*100</f>
        <v>0</v>
      </c>
      <c r="BE164" s="34">
        <v>0</v>
      </c>
      <c r="BF164" s="34">
        <f>164</f>
        <v>164</v>
      </c>
      <c r="BH164" s="18">
        <f>G164*AO164</f>
        <v>0</v>
      </c>
      <c r="BI164" s="18">
        <f>G164*AP164</f>
        <v>0</v>
      </c>
      <c r="BJ164" s="18">
        <f>G164*H164</f>
        <v>0</v>
      </c>
    </row>
    <row r="165" spans="3:7" ht="12.75">
      <c r="C165" s="101" t="s">
        <v>8</v>
      </c>
      <c r="D165" s="102"/>
      <c r="E165" s="102"/>
      <c r="G165" s="64">
        <v>3</v>
      </c>
    </row>
    <row r="166" spans="1:62" ht="12.75">
      <c r="A166" s="5" t="s">
        <v>69</v>
      </c>
      <c r="B166" s="5" t="s">
        <v>388</v>
      </c>
      <c r="C166" s="99" t="s">
        <v>664</v>
      </c>
      <c r="D166" s="100"/>
      <c r="E166" s="100"/>
      <c r="F166" s="5" t="s">
        <v>988</v>
      </c>
      <c r="G166" s="63">
        <v>3</v>
      </c>
      <c r="H166" s="18">
        <v>0</v>
      </c>
      <c r="I166" s="18">
        <f>G166*AO166</f>
        <v>0</v>
      </c>
      <c r="J166" s="18">
        <f>G166*AP166</f>
        <v>0</v>
      </c>
      <c r="K166" s="18">
        <f>G166*H166</f>
        <v>0</v>
      </c>
      <c r="L166" s="29"/>
      <c r="Z166" s="34">
        <f>IF(AQ166="5",BJ166,0)</f>
        <v>0</v>
      </c>
      <c r="AB166" s="34">
        <f>IF(AQ166="1",BH166,0)</f>
        <v>0</v>
      </c>
      <c r="AC166" s="34">
        <f>IF(AQ166="1",BI166,0)</f>
        <v>0</v>
      </c>
      <c r="AD166" s="34">
        <f>IF(AQ166="7",BH166,0)</f>
        <v>0</v>
      </c>
      <c r="AE166" s="34">
        <f>IF(AQ166="7",BI166,0)</f>
        <v>0</v>
      </c>
      <c r="AF166" s="34">
        <f>IF(AQ166="2",BH166,0)</f>
        <v>0</v>
      </c>
      <c r="AG166" s="34">
        <f>IF(AQ166="2",BI166,0)</f>
        <v>0</v>
      </c>
      <c r="AH166" s="34">
        <f>IF(AQ166="0",BJ166,0)</f>
        <v>0</v>
      </c>
      <c r="AI166" s="28" t="s">
        <v>1020</v>
      </c>
      <c r="AJ166" s="18">
        <f>IF(AN166=0,K166,0)</f>
        <v>0</v>
      </c>
      <c r="AK166" s="18">
        <f>IF(AN166=15,K166,0)</f>
        <v>0</v>
      </c>
      <c r="AL166" s="18">
        <f>IF(AN166=21,K166,0)</f>
        <v>0</v>
      </c>
      <c r="AN166" s="34">
        <v>21</v>
      </c>
      <c r="AO166" s="34">
        <f>H166*0.799938795656466</f>
        <v>0</v>
      </c>
      <c r="AP166" s="34">
        <f>H166*(1-0.799938795656466)</f>
        <v>0</v>
      </c>
      <c r="AQ166" s="29" t="s">
        <v>12</v>
      </c>
      <c r="AV166" s="34">
        <f>AW166+AX166</f>
        <v>0</v>
      </c>
      <c r="AW166" s="34">
        <f>G166*AO166</f>
        <v>0</v>
      </c>
      <c r="AX166" s="34">
        <f>G166*AP166</f>
        <v>0</v>
      </c>
      <c r="AY166" s="35" t="s">
        <v>1039</v>
      </c>
      <c r="AZ166" s="35" t="s">
        <v>1068</v>
      </c>
      <c r="BA166" s="28" t="s">
        <v>1085</v>
      </c>
      <c r="BC166" s="34">
        <f>AW166+AX166</f>
        <v>0</v>
      </c>
      <c r="BD166" s="34">
        <f>H166/(100-BE166)*100</f>
        <v>0</v>
      </c>
      <c r="BE166" s="34">
        <v>0</v>
      </c>
      <c r="BF166" s="34">
        <f>166</f>
        <v>166</v>
      </c>
      <c r="BH166" s="18">
        <f>G166*AO166</f>
        <v>0</v>
      </c>
      <c r="BI166" s="18">
        <f>G166*AP166</f>
        <v>0</v>
      </c>
      <c r="BJ166" s="18">
        <f>G166*H166</f>
        <v>0</v>
      </c>
    </row>
    <row r="167" spans="3:7" ht="12.75">
      <c r="C167" s="101" t="s">
        <v>8</v>
      </c>
      <c r="D167" s="102"/>
      <c r="E167" s="102"/>
      <c r="G167" s="64">
        <v>3</v>
      </c>
    </row>
    <row r="168" spans="1:62" ht="12.75">
      <c r="A168" s="5" t="s">
        <v>70</v>
      </c>
      <c r="B168" s="5" t="s">
        <v>389</v>
      </c>
      <c r="C168" s="99" t="s">
        <v>665</v>
      </c>
      <c r="D168" s="100"/>
      <c r="E168" s="100"/>
      <c r="F168" s="5" t="s">
        <v>987</v>
      </c>
      <c r="G168" s="63">
        <v>0.027</v>
      </c>
      <c r="H168" s="18">
        <v>0</v>
      </c>
      <c r="I168" s="18">
        <f>G168*AO168</f>
        <v>0</v>
      </c>
      <c r="J168" s="18">
        <f>G168*AP168</f>
        <v>0</v>
      </c>
      <c r="K168" s="18">
        <f>G168*H168</f>
        <v>0</v>
      </c>
      <c r="L168" s="29"/>
      <c r="Z168" s="34">
        <f>IF(AQ168="5",BJ168,0)</f>
        <v>0</v>
      </c>
      <c r="AB168" s="34">
        <f>IF(AQ168="1",BH168,0)</f>
        <v>0</v>
      </c>
      <c r="AC168" s="34">
        <f>IF(AQ168="1",BI168,0)</f>
        <v>0</v>
      </c>
      <c r="AD168" s="34">
        <f>IF(AQ168="7",BH168,0)</f>
        <v>0</v>
      </c>
      <c r="AE168" s="34">
        <f>IF(AQ168="7",BI168,0)</f>
        <v>0</v>
      </c>
      <c r="AF168" s="34">
        <f>IF(AQ168="2",BH168,0)</f>
        <v>0</v>
      </c>
      <c r="AG168" s="34">
        <f>IF(AQ168="2",BI168,0)</f>
        <v>0</v>
      </c>
      <c r="AH168" s="34">
        <f>IF(AQ168="0",BJ168,0)</f>
        <v>0</v>
      </c>
      <c r="AI168" s="28" t="s">
        <v>1020</v>
      </c>
      <c r="AJ168" s="18">
        <f>IF(AN168=0,K168,0)</f>
        <v>0</v>
      </c>
      <c r="AK168" s="18">
        <f>IF(AN168=15,K168,0)</f>
        <v>0</v>
      </c>
      <c r="AL168" s="18">
        <f>IF(AN168=21,K168,0)</f>
        <v>0</v>
      </c>
      <c r="AN168" s="34">
        <v>21</v>
      </c>
      <c r="AO168" s="34">
        <f>H168*0</f>
        <v>0</v>
      </c>
      <c r="AP168" s="34">
        <f>H168*(1-0)</f>
        <v>0</v>
      </c>
      <c r="AQ168" s="29" t="s">
        <v>10</v>
      </c>
      <c r="AV168" s="34">
        <f>AW168+AX168</f>
        <v>0</v>
      </c>
      <c r="AW168" s="34">
        <f>G168*AO168</f>
        <v>0</v>
      </c>
      <c r="AX168" s="34">
        <f>G168*AP168</f>
        <v>0</v>
      </c>
      <c r="AY168" s="35" t="s">
        <v>1039</v>
      </c>
      <c r="AZ168" s="35" t="s">
        <v>1068</v>
      </c>
      <c r="BA168" s="28" t="s">
        <v>1085</v>
      </c>
      <c r="BC168" s="34">
        <f>AW168+AX168</f>
        <v>0</v>
      </c>
      <c r="BD168" s="34">
        <f>H168/(100-BE168)*100</f>
        <v>0</v>
      </c>
      <c r="BE168" s="34">
        <v>0</v>
      </c>
      <c r="BF168" s="34">
        <f>168</f>
        <v>168</v>
      </c>
      <c r="BH168" s="18">
        <f>G168*AO168</f>
        <v>0</v>
      </c>
      <c r="BI168" s="18">
        <f>G168*AP168</f>
        <v>0</v>
      </c>
      <c r="BJ168" s="18">
        <f>G168*H168</f>
        <v>0</v>
      </c>
    </row>
    <row r="169" spans="3:7" ht="12.75">
      <c r="C169" s="101" t="s">
        <v>666</v>
      </c>
      <c r="D169" s="102"/>
      <c r="E169" s="102"/>
      <c r="G169" s="64">
        <v>0.027</v>
      </c>
    </row>
    <row r="170" spans="1:62" ht="12.75">
      <c r="A170" s="5" t="s">
        <v>71</v>
      </c>
      <c r="B170" s="5" t="s">
        <v>390</v>
      </c>
      <c r="C170" s="99" t="s">
        <v>667</v>
      </c>
      <c r="D170" s="100"/>
      <c r="E170" s="100"/>
      <c r="F170" s="5" t="s">
        <v>988</v>
      </c>
      <c r="G170" s="63">
        <v>3</v>
      </c>
      <c r="H170" s="18">
        <v>0</v>
      </c>
      <c r="I170" s="18">
        <f>G170*AO170</f>
        <v>0</v>
      </c>
      <c r="J170" s="18">
        <f>G170*AP170</f>
        <v>0</v>
      </c>
      <c r="K170" s="18">
        <f>G170*H170</f>
        <v>0</v>
      </c>
      <c r="L170" s="29"/>
      <c r="Z170" s="34">
        <f>IF(AQ170="5",BJ170,0)</f>
        <v>0</v>
      </c>
      <c r="AB170" s="34">
        <f>IF(AQ170="1",BH170,0)</f>
        <v>0</v>
      </c>
      <c r="AC170" s="34">
        <f>IF(AQ170="1",BI170,0)</f>
        <v>0</v>
      </c>
      <c r="AD170" s="34">
        <f>IF(AQ170="7",BH170,0)</f>
        <v>0</v>
      </c>
      <c r="AE170" s="34">
        <f>IF(AQ170="7",BI170,0)</f>
        <v>0</v>
      </c>
      <c r="AF170" s="34">
        <f>IF(AQ170="2",BH170,0)</f>
        <v>0</v>
      </c>
      <c r="AG170" s="34">
        <f>IF(AQ170="2",BI170,0)</f>
        <v>0</v>
      </c>
      <c r="AH170" s="34">
        <f>IF(AQ170="0",BJ170,0)</f>
        <v>0</v>
      </c>
      <c r="AI170" s="28" t="s">
        <v>1020</v>
      </c>
      <c r="AJ170" s="18">
        <f>IF(AN170=0,K170,0)</f>
        <v>0</v>
      </c>
      <c r="AK170" s="18">
        <f>IF(AN170=15,K170,0)</f>
        <v>0</v>
      </c>
      <c r="AL170" s="18">
        <f>IF(AN170=21,K170,0)</f>
        <v>0</v>
      </c>
      <c r="AN170" s="34">
        <v>21</v>
      </c>
      <c r="AO170" s="34">
        <f>H170*0.103828125</f>
        <v>0</v>
      </c>
      <c r="AP170" s="34">
        <f>H170*(1-0.103828125)</f>
        <v>0</v>
      </c>
      <c r="AQ170" s="29" t="s">
        <v>12</v>
      </c>
      <c r="AV170" s="34">
        <f>AW170+AX170</f>
        <v>0</v>
      </c>
      <c r="AW170" s="34">
        <f>G170*AO170</f>
        <v>0</v>
      </c>
      <c r="AX170" s="34">
        <f>G170*AP170</f>
        <v>0</v>
      </c>
      <c r="AY170" s="35" t="s">
        <v>1039</v>
      </c>
      <c r="AZ170" s="35" t="s">
        <v>1068</v>
      </c>
      <c r="BA170" s="28" t="s">
        <v>1085</v>
      </c>
      <c r="BC170" s="34">
        <f>AW170+AX170</f>
        <v>0</v>
      </c>
      <c r="BD170" s="34">
        <f>H170/(100-BE170)*100</f>
        <v>0</v>
      </c>
      <c r="BE170" s="34">
        <v>0</v>
      </c>
      <c r="BF170" s="34">
        <f>170</f>
        <v>170</v>
      </c>
      <c r="BH170" s="18">
        <f>G170*AO170</f>
        <v>0</v>
      </c>
      <c r="BI170" s="18">
        <f>G170*AP170</f>
        <v>0</v>
      </c>
      <c r="BJ170" s="18">
        <f>G170*H170</f>
        <v>0</v>
      </c>
    </row>
    <row r="171" spans="3:7" ht="12.75">
      <c r="C171" s="101" t="s">
        <v>8</v>
      </c>
      <c r="D171" s="102"/>
      <c r="E171" s="102"/>
      <c r="G171" s="64">
        <v>3</v>
      </c>
    </row>
    <row r="172" spans="1:47" ht="12.75">
      <c r="A172" s="4"/>
      <c r="B172" s="14" t="s">
        <v>391</v>
      </c>
      <c r="C172" s="97" t="s">
        <v>668</v>
      </c>
      <c r="D172" s="98"/>
      <c r="E172" s="98"/>
      <c r="F172" s="4" t="s">
        <v>5</v>
      </c>
      <c r="G172" s="4" t="s">
        <v>5</v>
      </c>
      <c r="H172" s="4" t="s">
        <v>5</v>
      </c>
      <c r="I172" s="37">
        <f>SUM(I173:I192)</f>
        <v>0</v>
      </c>
      <c r="J172" s="37">
        <f>SUM(J173:J192)</f>
        <v>0</v>
      </c>
      <c r="K172" s="37">
        <f>SUM(K173:K192)</f>
        <v>0</v>
      </c>
      <c r="L172" s="28"/>
      <c r="AI172" s="28" t="s">
        <v>1020</v>
      </c>
      <c r="AS172" s="37">
        <f>SUM(AJ173:AJ192)</f>
        <v>0</v>
      </c>
      <c r="AT172" s="37">
        <f>SUM(AK173:AK192)</f>
        <v>0</v>
      </c>
      <c r="AU172" s="37">
        <f>SUM(AL173:AL192)</f>
        <v>0</v>
      </c>
    </row>
    <row r="173" spans="1:62" ht="12.75">
      <c r="A173" s="5" t="s">
        <v>72</v>
      </c>
      <c r="B173" s="5" t="s">
        <v>392</v>
      </c>
      <c r="C173" s="99" t="s">
        <v>669</v>
      </c>
      <c r="D173" s="100"/>
      <c r="E173" s="100"/>
      <c r="F173" s="5" t="s">
        <v>984</v>
      </c>
      <c r="G173" s="63">
        <v>17.82</v>
      </c>
      <c r="H173" s="18">
        <v>0</v>
      </c>
      <c r="I173" s="18">
        <f>G173*AO173</f>
        <v>0</v>
      </c>
      <c r="J173" s="18">
        <f>G173*AP173</f>
        <v>0</v>
      </c>
      <c r="K173" s="18">
        <f>G173*H173</f>
        <v>0</v>
      </c>
      <c r="L173" s="29"/>
      <c r="Z173" s="34">
        <f>IF(AQ173="5",BJ173,0)</f>
        <v>0</v>
      </c>
      <c r="AB173" s="34">
        <f>IF(AQ173="1",BH173,0)</f>
        <v>0</v>
      </c>
      <c r="AC173" s="34">
        <f>IF(AQ173="1",BI173,0)</f>
        <v>0</v>
      </c>
      <c r="AD173" s="34">
        <f>IF(AQ173="7",BH173,0)</f>
        <v>0</v>
      </c>
      <c r="AE173" s="34">
        <f>IF(AQ173="7",BI173,0)</f>
        <v>0</v>
      </c>
      <c r="AF173" s="34">
        <f>IF(AQ173="2",BH173,0)</f>
        <v>0</v>
      </c>
      <c r="AG173" s="34">
        <f>IF(AQ173="2",BI173,0)</f>
        <v>0</v>
      </c>
      <c r="AH173" s="34">
        <f>IF(AQ173="0",BJ173,0)</f>
        <v>0</v>
      </c>
      <c r="AI173" s="28" t="s">
        <v>1020</v>
      </c>
      <c r="AJ173" s="18">
        <f>IF(AN173=0,K173,0)</f>
        <v>0</v>
      </c>
      <c r="AK173" s="18">
        <f>IF(AN173=15,K173,0)</f>
        <v>0</v>
      </c>
      <c r="AL173" s="18">
        <f>IF(AN173=21,K173,0)</f>
        <v>0</v>
      </c>
      <c r="AN173" s="34">
        <v>21</v>
      </c>
      <c r="AO173" s="34">
        <f>H173*0.477161430119177</f>
        <v>0</v>
      </c>
      <c r="AP173" s="34">
        <f>H173*(1-0.477161430119177)</f>
        <v>0</v>
      </c>
      <c r="AQ173" s="29" t="s">
        <v>12</v>
      </c>
      <c r="AV173" s="34">
        <f>AW173+AX173</f>
        <v>0</v>
      </c>
      <c r="AW173" s="34">
        <f>G173*AO173</f>
        <v>0</v>
      </c>
      <c r="AX173" s="34">
        <f>G173*AP173</f>
        <v>0</v>
      </c>
      <c r="AY173" s="35" t="s">
        <v>1040</v>
      </c>
      <c r="AZ173" s="35" t="s">
        <v>1069</v>
      </c>
      <c r="BA173" s="28" t="s">
        <v>1085</v>
      </c>
      <c r="BC173" s="34">
        <f>AW173+AX173</f>
        <v>0</v>
      </c>
      <c r="BD173" s="34">
        <f>H173/(100-BE173)*100</f>
        <v>0</v>
      </c>
      <c r="BE173" s="34">
        <v>0</v>
      </c>
      <c r="BF173" s="34">
        <f>173</f>
        <v>173</v>
      </c>
      <c r="BH173" s="18">
        <f>G173*AO173</f>
        <v>0</v>
      </c>
      <c r="BI173" s="18">
        <f>G173*AP173</f>
        <v>0</v>
      </c>
      <c r="BJ173" s="18">
        <f>G173*H173</f>
        <v>0</v>
      </c>
    </row>
    <row r="174" spans="3:7" ht="12.75">
      <c r="C174" s="101" t="s">
        <v>624</v>
      </c>
      <c r="D174" s="102"/>
      <c r="E174" s="102"/>
      <c r="G174" s="64">
        <v>17.82</v>
      </c>
    </row>
    <row r="175" spans="1:62" ht="12.75">
      <c r="A175" s="5" t="s">
        <v>73</v>
      </c>
      <c r="B175" s="5" t="s">
        <v>393</v>
      </c>
      <c r="C175" s="99" t="s">
        <v>670</v>
      </c>
      <c r="D175" s="100"/>
      <c r="E175" s="100"/>
      <c r="F175" s="5" t="s">
        <v>985</v>
      </c>
      <c r="G175" s="63">
        <v>0.683</v>
      </c>
      <c r="H175" s="18">
        <v>0</v>
      </c>
      <c r="I175" s="18">
        <f>G175*AO175</f>
        <v>0</v>
      </c>
      <c r="J175" s="18">
        <f>G175*AP175</f>
        <v>0</v>
      </c>
      <c r="K175" s="18">
        <f>G175*H175</f>
        <v>0</v>
      </c>
      <c r="L175" s="29"/>
      <c r="Z175" s="34">
        <f>IF(AQ175="5",BJ175,0)</f>
        <v>0</v>
      </c>
      <c r="AB175" s="34">
        <f>IF(AQ175="1",BH175,0)</f>
        <v>0</v>
      </c>
      <c r="AC175" s="34">
        <f>IF(AQ175="1",BI175,0)</f>
        <v>0</v>
      </c>
      <c r="AD175" s="34">
        <f>IF(AQ175="7",BH175,0)</f>
        <v>0</v>
      </c>
      <c r="AE175" s="34">
        <f>IF(AQ175="7",BI175,0)</f>
        <v>0</v>
      </c>
      <c r="AF175" s="34">
        <f>IF(AQ175="2",BH175,0)</f>
        <v>0</v>
      </c>
      <c r="AG175" s="34">
        <f>IF(AQ175="2",BI175,0)</f>
        <v>0</v>
      </c>
      <c r="AH175" s="34">
        <f>IF(AQ175="0",BJ175,0)</f>
        <v>0</v>
      </c>
      <c r="AI175" s="28" t="s">
        <v>1020</v>
      </c>
      <c r="AJ175" s="18">
        <f>IF(AN175=0,K175,0)</f>
        <v>0</v>
      </c>
      <c r="AK175" s="18">
        <f>IF(AN175=15,K175,0)</f>
        <v>0</v>
      </c>
      <c r="AL175" s="18">
        <f>IF(AN175=21,K175,0)</f>
        <v>0</v>
      </c>
      <c r="AN175" s="34">
        <v>21</v>
      </c>
      <c r="AO175" s="34">
        <f>H175*0.991035242290749</f>
        <v>0</v>
      </c>
      <c r="AP175" s="34">
        <f>H175*(1-0.991035242290749)</f>
        <v>0</v>
      </c>
      <c r="AQ175" s="29" t="s">
        <v>12</v>
      </c>
      <c r="AV175" s="34">
        <f>AW175+AX175</f>
        <v>0</v>
      </c>
      <c r="AW175" s="34">
        <f>G175*AO175</f>
        <v>0</v>
      </c>
      <c r="AX175" s="34">
        <f>G175*AP175</f>
        <v>0</v>
      </c>
      <c r="AY175" s="35" t="s">
        <v>1040</v>
      </c>
      <c r="AZ175" s="35" t="s">
        <v>1069</v>
      </c>
      <c r="BA175" s="28" t="s">
        <v>1085</v>
      </c>
      <c r="BC175" s="34">
        <f>AW175+AX175</f>
        <v>0</v>
      </c>
      <c r="BD175" s="34">
        <f>H175/(100-BE175)*100</f>
        <v>0</v>
      </c>
      <c r="BE175" s="34">
        <v>0</v>
      </c>
      <c r="BF175" s="34">
        <f>175</f>
        <v>175</v>
      </c>
      <c r="BH175" s="18">
        <f>G175*AO175</f>
        <v>0</v>
      </c>
      <c r="BI175" s="18">
        <f>G175*AP175</f>
        <v>0</v>
      </c>
      <c r="BJ175" s="18">
        <f>G175*H175</f>
        <v>0</v>
      </c>
    </row>
    <row r="176" spans="3:7" ht="12.75">
      <c r="C176" s="101" t="s">
        <v>671</v>
      </c>
      <c r="D176" s="102"/>
      <c r="E176" s="102"/>
      <c r="G176" s="64">
        <v>0.683</v>
      </c>
    </row>
    <row r="177" spans="1:62" ht="12.75">
      <c r="A177" s="5" t="s">
        <v>74</v>
      </c>
      <c r="B177" s="5" t="s">
        <v>394</v>
      </c>
      <c r="C177" s="99" t="s">
        <v>672</v>
      </c>
      <c r="D177" s="100"/>
      <c r="E177" s="100"/>
      <c r="F177" s="5" t="s">
        <v>986</v>
      </c>
      <c r="G177" s="63">
        <v>44.55</v>
      </c>
      <c r="H177" s="18">
        <v>0</v>
      </c>
      <c r="I177" s="18">
        <f>G177*AO177</f>
        <v>0</v>
      </c>
      <c r="J177" s="18">
        <f>G177*AP177</f>
        <v>0</v>
      </c>
      <c r="K177" s="18">
        <f>G177*H177</f>
        <v>0</v>
      </c>
      <c r="L177" s="29"/>
      <c r="Z177" s="34">
        <f>IF(AQ177="5",BJ177,0)</f>
        <v>0</v>
      </c>
      <c r="AB177" s="34">
        <f>IF(AQ177="1",BH177,0)</f>
        <v>0</v>
      </c>
      <c r="AC177" s="34">
        <f>IF(AQ177="1",BI177,0)</f>
        <v>0</v>
      </c>
      <c r="AD177" s="34">
        <f>IF(AQ177="7",BH177,0)</f>
        <v>0</v>
      </c>
      <c r="AE177" s="34">
        <f>IF(AQ177="7",BI177,0)</f>
        <v>0</v>
      </c>
      <c r="AF177" s="34">
        <f>IF(AQ177="2",BH177,0)</f>
        <v>0</v>
      </c>
      <c r="AG177" s="34">
        <f>IF(AQ177="2",BI177,0)</f>
        <v>0</v>
      </c>
      <c r="AH177" s="34">
        <f>IF(AQ177="0",BJ177,0)</f>
        <v>0</v>
      </c>
      <c r="AI177" s="28" t="s">
        <v>1020</v>
      </c>
      <c r="AJ177" s="18">
        <f>IF(AN177=0,K177,0)</f>
        <v>0</v>
      </c>
      <c r="AK177" s="18">
        <f>IF(AN177=15,K177,0)</f>
        <v>0</v>
      </c>
      <c r="AL177" s="18">
        <f>IF(AN177=21,K177,0)</f>
        <v>0</v>
      </c>
      <c r="AN177" s="34">
        <v>21</v>
      </c>
      <c r="AO177" s="34">
        <f>H177*0</f>
        <v>0</v>
      </c>
      <c r="AP177" s="34">
        <f>H177*(1-0)</f>
        <v>0</v>
      </c>
      <c r="AQ177" s="29" t="s">
        <v>12</v>
      </c>
      <c r="AV177" s="34">
        <f>AW177+AX177</f>
        <v>0</v>
      </c>
      <c r="AW177" s="34">
        <f>G177*AO177</f>
        <v>0</v>
      </c>
      <c r="AX177" s="34">
        <f>G177*AP177</f>
        <v>0</v>
      </c>
      <c r="AY177" s="35" t="s">
        <v>1040</v>
      </c>
      <c r="AZ177" s="35" t="s">
        <v>1069</v>
      </c>
      <c r="BA177" s="28" t="s">
        <v>1085</v>
      </c>
      <c r="BC177" s="34">
        <f>AW177+AX177</f>
        <v>0</v>
      </c>
      <c r="BD177" s="34">
        <f>H177/(100-BE177)*100</f>
        <v>0</v>
      </c>
      <c r="BE177" s="34">
        <v>0</v>
      </c>
      <c r="BF177" s="34">
        <f>177</f>
        <v>177</v>
      </c>
      <c r="BH177" s="18">
        <f>G177*AO177</f>
        <v>0</v>
      </c>
      <c r="BI177" s="18">
        <f>G177*AP177</f>
        <v>0</v>
      </c>
      <c r="BJ177" s="18">
        <f>G177*H177</f>
        <v>0</v>
      </c>
    </row>
    <row r="178" spans="3:7" ht="12.75">
      <c r="C178" s="101" t="s">
        <v>673</v>
      </c>
      <c r="D178" s="102"/>
      <c r="E178" s="102"/>
      <c r="G178" s="64">
        <v>44.55</v>
      </c>
    </row>
    <row r="179" spans="1:62" ht="12.75">
      <c r="A179" s="5" t="s">
        <v>75</v>
      </c>
      <c r="B179" s="5" t="s">
        <v>395</v>
      </c>
      <c r="C179" s="99" t="s">
        <v>674</v>
      </c>
      <c r="D179" s="100"/>
      <c r="E179" s="100"/>
      <c r="F179" s="5" t="s">
        <v>985</v>
      </c>
      <c r="G179" s="63">
        <v>1.004</v>
      </c>
      <c r="H179" s="18">
        <v>0</v>
      </c>
      <c r="I179" s="18">
        <f>G179*AO179</f>
        <v>0</v>
      </c>
      <c r="J179" s="18">
        <f>G179*AP179</f>
        <v>0</v>
      </c>
      <c r="K179" s="18">
        <f>G179*H179</f>
        <v>0</v>
      </c>
      <c r="L179" s="29"/>
      <c r="Z179" s="34">
        <f>IF(AQ179="5",BJ179,0)</f>
        <v>0</v>
      </c>
      <c r="AB179" s="34">
        <f>IF(AQ179="1",BH179,0)</f>
        <v>0</v>
      </c>
      <c r="AC179" s="34">
        <f>IF(AQ179="1",BI179,0)</f>
        <v>0</v>
      </c>
      <c r="AD179" s="34">
        <f>IF(AQ179="7",BH179,0)</f>
        <v>0</v>
      </c>
      <c r="AE179" s="34">
        <f>IF(AQ179="7",BI179,0)</f>
        <v>0</v>
      </c>
      <c r="AF179" s="34">
        <f>IF(AQ179="2",BH179,0)</f>
        <v>0</v>
      </c>
      <c r="AG179" s="34">
        <f>IF(AQ179="2",BI179,0)</f>
        <v>0</v>
      </c>
      <c r="AH179" s="34">
        <f>IF(AQ179="0",BJ179,0)</f>
        <v>0</v>
      </c>
      <c r="AI179" s="28" t="s">
        <v>1020</v>
      </c>
      <c r="AJ179" s="18">
        <f>IF(AN179=0,K179,0)</f>
        <v>0</v>
      </c>
      <c r="AK179" s="18">
        <f>IF(AN179=15,K179,0)</f>
        <v>0</v>
      </c>
      <c r="AL179" s="18">
        <f>IF(AN179=21,K179,0)</f>
        <v>0</v>
      </c>
      <c r="AN179" s="34">
        <v>21</v>
      </c>
      <c r="AO179" s="34">
        <f>H179*0.999997079140683</f>
        <v>0</v>
      </c>
      <c r="AP179" s="34">
        <f>H179*(1-0.999997079140683)</f>
        <v>0</v>
      </c>
      <c r="AQ179" s="29" t="s">
        <v>12</v>
      </c>
      <c r="AV179" s="34">
        <f>AW179+AX179</f>
        <v>0</v>
      </c>
      <c r="AW179" s="34">
        <f>G179*AO179</f>
        <v>0</v>
      </c>
      <c r="AX179" s="34">
        <f>G179*AP179</f>
        <v>0</v>
      </c>
      <c r="AY179" s="35" t="s">
        <v>1040</v>
      </c>
      <c r="AZ179" s="35" t="s">
        <v>1069</v>
      </c>
      <c r="BA179" s="28" t="s">
        <v>1085</v>
      </c>
      <c r="BC179" s="34">
        <f>AW179+AX179</f>
        <v>0</v>
      </c>
      <c r="BD179" s="34">
        <f>H179/(100-BE179)*100</f>
        <v>0</v>
      </c>
      <c r="BE179" s="34">
        <v>0</v>
      </c>
      <c r="BF179" s="34">
        <f>179</f>
        <v>179</v>
      </c>
      <c r="BH179" s="18">
        <f>G179*AO179</f>
        <v>0</v>
      </c>
      <c r="BI179" s="18">
        <f>G179*AP179</f>
        <v>0</v>
      </c>
      <c r="BJ179" s="18">
        <f>G179*H179</f>
        <v>0</v>
      </c>
    </row>
    <row r="180" spans="3:7" ht="12.75">
      <c r="C180" s="101" t="s">
        <v>675</v>
      </c>
      <c r="D180" s="102"/>
      <c r="E180" s="102"/>
      <c r="G180" s="64">
        <v>1.004</v>
      </c>
    </row>
    <row r="181" spans="1:62" ht="12.75">
      <c r="A181" s="6" t="s">
        <v>76</v>
      </c>
      <c r="B181" s="6" t="s">
        <v>396</v>
      </c>
      <c r="C181" s="103" t="s">
        <v>676</v>
      </c>
      <c r="D181" s="104"/>
      <c r="E181" s="104"/>
      <c r="F181" s="6" t="s">
        <v>985</v>
      </c>
      <c r="G181" s="65">
        <v>0.184</v>
      </c>
      <c r="H181" s="19">
        <v>0</v>
      </c>
      <c r="I181" s="19">
        <f>G181*AO181</f>
        <v>0</v>
      </c>
      <c r="J181" s="19">
        <f>G181*AP181</f>
        <v>0</v>
      </c>
      <c r="K181" s="19">
        <f>G181*H181</f>
        <v>0</v>
      </c>
      <c r="L181" s="30"/>
      <c r="Z181" s="34">
        <f>IF(AQ181="5",BJ181,0)</f>
        <v>0</v>
      </c>
      <c r="AB181" s="34">
        <f>IF(AQ181="1",BH181,0)</f>
        <v>0</v>
      </c>
      <c r="AC181" s="34">
        <f>IF(AQ181="1",BI181,0)</f>
        <v>0</v>
      </c>
      <c r="AD181" s="34">
        <f>IF(AQ181="7",BH181,0)</f>
        <v>0</v>
      </c>
      <c r="AE181" s="34">
        <f>IF(AQ181="7",BI181,0)</f>
        <v>0</v>
      </c>
      <c r="AF181" s="34">
        <f>IF(AQ181="2",BH181,0)</f>
        <v>0</v>
      </c>
      <c r="AG181" s="34">
        <f>IF(AQ181="2",BI181,0)</f>
        <v>0</v>
      </c>
      <c r="AH181" s="34">
        <f>IF(AQ181="0",BJ181,0)</f>
        <v>0</v>
      </c>
      <c r="AI181" s="28" t="s">
        <v>1020</v>
      </c>
      <c r="AJ181" s="19">
        <f>IF(AN181=0,K181,0)</f>
        <v>0</v>
      </c>
      <c r="AK181" s="19">
        <f>IF(AN181=15,K181,0)</f>
        <v>0</v>
      </c>
      <c r="AL181" s="19">
        <f>IF(AN181=21,K181,0)</f>
        <v>0</v>
      </c>
      <c r="AN181" s="34">
        <v>21</v>
      </c>
      <c r="AO181" s="34">
        <f>H181*1</f>
        <v>0</v>
      </c>
      <c r="AP181" s="34">
        <f>H181*(1-1)</f>
        <v>0</v>
      </c>
      <c r="AQ181" s="30" t="s">
        <v>12</v>
      </c>
      <c r="AV181" s="34">
        <f>AW181+AX181</f>
        <v>0</v>
      </c>
      <c r="AW181" s="34">
        <f>G181*AO181</f>
        <v>0</v>
      </c>
      <c r="AX181" s="34">
        <f>G181*AP181</f>
        <v>0</v>
      </c>
      <c r="AY181" s="35" t="s">
        <v>1040</v>
      </c>
      <c r="AZ181" s="35" t="s">
        <v>1069</v>
      </c>
      <c r="BA181" s="28" t="s">
        <v>1085</v>
      </c>
      <c r="BC181" s="34">
        <f>AW181+AX181</f>
        <v>0</v>
      </c>
      <c r="BD181" s="34">
        <f>H181/(100-BE181)*100</f>
        <v>0</v>
      </c>
      <c r="BE181" s="34">
        <v>0</v>
      </c>
      <c r="BF181" s="34">
        <f>181</f>
        <v>181</v>
      </c>
      <c r="BH181" s="19">
        <f>G181*AO181</f>
        <v>0</v>
      </c>
      <c r="BI181" s="19">
        <f>G181*AP181</f>
        <v>0</v>
      </c>
      <c r="BJ181" s="19">
        <f>G181*H181</f>
        <v>0</v>
      </c>
    </row>
    <row r="182" spans="3:7" ht="12.75">
      <c r="C182" s="101" t="s">
        <v>677</v>
      </c>
      <c r="D182" s="102"/>
      <c r="E182" s="102"/>
      <c r="G182" s="64">
        <v>0.16</v>
      </c>
    </row>
    <row r="183" spans="3:7" ht="12.75">
      <c r="C183" s="101" t="s">
        <v>678</v>
      </c>
      <c r="D183" s="102"/>
      <c r="E183" s="102"/>
      <c r="G183" s="64">
        <v>0.024</v>
      </c>
    </row>
    <row r="184" spans="1:62" ht="12.75">
      <c r="A184" s="5" t="s">
        <v>77</v>
      </c>
      <c r="B184" s="5" t="s">
        <v>397</v>
      </c>
      <c r="C184" s="99" t="s">
        <v>679</v>
      </c>
      <c r="D184" s="100"/>
      <c r="E184" s="100"/>
      <c r="F184" s="5" t="s">
        <v>984</v>
      </c>
      <c r="G184" s="63">
        <v>8.64</v>
      </c>
      <c r="H184" s="18">
        <v>0</v>
      </c>
      <c r="I184" s="18">
        <f>G184*AO184</f>
        <v>0</v>
      </c>
      <c r="J184" s="18">
        <f>G184*AP184</f>
        <v>0</v>
      </c>
      <c r="K184" s="18">
        <f>G184*H184</f>
        <v>0</v>
      </c>
      <c r="L184" s="29"/>
      <c r="Z184" s="34">
        <f>IF(AQ184="5",BJ184,0)</f>
        <v>0</v>
      </c>
      <c r="AB184" s="34">
        <f>IF(AQ184="1",BH184,0)</f>
        <v>0</v>
      </c>
      <c r="AC184" s="34">
        <f>IF(AQ184="1",BI184,0)</f>
        <v>0</v>
      </c>
      <c r="AD184" s="34">
        <f>IF(AQ184="7",BH184,0)</f>
        <v>0</v>
      </c>
      <c r="AE184" s="34">
        <f>IF(AQ184="7",BI184,0)</f>
        <v>0</v>
      </c>
      <c r="AF184" s="34">
        <f>IF(AQ184="2",BH184,0)</f>
        <v>0</v>
      </c>
      <c r="AG184" s="34">
        <f>IF(AQ184="2",BI184,0)</f>
        <v>0</v>
      </c>
      <c r="AH184" s="34">
        <f>IF(AQ184="0",BJ184,0)</f>
        <v>0</v>
      </c>
      <c r="AI184" s="28" t="s">
        <v>1020</v>
      </c>
      <c r="AJ184" s="18">
        <f>IF(AN184=0,K184,0)</f>
        <v>0</v>
      </c>
      <c r="AK184" s="18">
        <f>IF(AN184=15,K184,0)</f>
        <v>0</v>
      </c>
      <c r="AL184" s="18">
        <f>IF(AN184=21,K184,0)</f>
        <v>0</v>
      </c>
      <c r="AN184" s="34">
        <v>21</v>
      </c>
      <c r="AO184" s="34">
        <f>H184*0.547014925373134</f>
        <v>0</v>
      </c>
      <c r="AP184" s="34">
        <f>H184*(1-0.547014925373134)</f>
        <v>0</v>
      </c>
      <c r="AQ184" s="29" t="s">
        <v>12</v>
      </c>
      <c r="AV184" s="34">
        <f>AW184+AX184</f>
        <v>0</v>
      </c>
      <c r="AW184" s="34">
        <f>G184*AO184</f>
        <v>0</v>
      </c>
      <c r="AX184" s="34">
        <f>G184*AP184</f>
        <v>0</v>
      </c>
      <c r="AY184" s="35" t="s">
        <v>1040</v>
      </c>
      <c r="AZ184" s="35" t="s">
        <v>1069</v>
      </c>
      <c r="BA184" s="28" t="s">
        <v>1085</v>
      </c>
      <c r="BC184" s="34">
        <f>AW184+AX184</f>
        <v>0</v>
      </c>
      <c r="BD184" s="34">
        <f>H184/(100-BE184)*100</f>
        <v>0</v>
      </c>
      <c r="BE184" s="34">
        <v>0</v>
      </c>
      <c r="BF184" s="34">
        <f>184</f>
        <v>184</v>
      </c>
      <c r="BH184" s="18">
        <f>G184*AO184</f>
        <v>0</v>
      </c>
      <c r="BI184" s="18">
        <f>G184*AP184</f>
        <v>0</v>
      </c>
      <c r="BJ184" s="18">
        <f>G184*H184</f>
        <v>0</v>
      </c>
    </row>
    <row r="185" spans="3:7" ht="12.75">
      <c r="C185" s="101" t="s">
        <v>680</v>
      </c>
      <c r="D185" s="102"/>
      <c r="E185" s="102"/>
      <c r="G185" s="64">
        <v>8.64</v>
      </c>
    </row>
    <row r="186" spans="1:62" ht="12.75">
      <c r="A186" s="5" t="s">
        <v>78</v>
      </c>
      <c r="B186" s="5" t="s">
        <v>398</v>
      </c>
      <c r="C186" s="99" t="s">
        <v>681</v>
      </c>
      <c r="D186" s="100"/>
      <c r="E186" s="100"/>
      <c r="F186" s="5" t="s">
        <v>986</v>
      </c>
      <c r="G186" s="63">
        <v>29.52</v>
      </c>
      <c r="H186" s="18">
        <v>0</v>
      </c>
      <c r="I186" s="18">
        <f>G186*AO186</f>
        <v>0</v>
      </c>
      <c r="J186" s="18">
        <f>G186*AP186</f>
        <v>0</v>
      </c>
      <c r="K186" s="18">
        <f>G186*H186</f>
        <v>0</v>
      </c>
      <c r="L186" s="29"/>
      <c r="Z186" s="34">
        <f>IF(AQ186="5",BJ186,0)</f>
        <v>0</v>
      </c>
      <c r="AB186" s="34">
        <f>IF(AQ186="1",BH186,0)</f>
        <v>0</v>
      </c>
      <c r="AC186" s="34">
        <f>IF(AQ186="1",BI186,0)</f>
        <v>0</v>
      </c>
      <c r="AD186" s="34">
        <f>IF(AQ186="7",BH186,0)</f>
        <v>0</v>
      </c>
      <c r="AE186" s="34">
        <f>IF(AQ186="7",BI186,0)</f>
        <v>0</v>
      </c>
      <c r="AF186" s="34">
        <f>IF(AQ186="2",BH186,0)</f>
        <v>0</v>
      </c>
      <c r="AG186" s="34">
        <f>IF(AQ186="2",BI186,0)</f>
        <v>0</v>
      </c>
      <c r="AH186" s="34">
        <f>IF(AQ186="0",BJ186,0)</f>
        <v>0</v>
      </c>
      <c r="AI186" s="28" t="s">
        <v>1020</v>
      </c>
      <c r="AJ186" s="18">
        <f>IF(AN186=0,K186,0)</f>
        <v>0</v>
      </c>
      <c r="AK186" s="18">
        <f>IF(AN186=15,K186,0)</f>
        <v>0</v>
      </c>
      <c r="AL186" s="18">
        <f>IF(AN186=21,K186,0)</f>
        <v>0</v>
      </c>
      <c r="AN186" s="34">
        <v>21</v>
      </c>
      <c r="AO186" s="34">
        <f>H186*0.283039014373717</f>
        <v>0</v>
      </c>
      <c r="AP186" s="34">
        <f>H186*(1-0.283039014373717)</f>
        <v>0</v>
      </c>
      <c r="AQ186" s="29" t="s">
        <v>12</v>
      </c>
      <c r="AV186" s="34">
        <f>AW186+AX186</f>
        <v>0</v>
      </c>
      <c r="AW186" s="34">
        <f>G186*AO186</f>
        <v>0</v>
      </c>
      <c r="AX186" s="34">
        <f>G186*AP186</f>
        <v>0</v>
      </c>
      <c r="AY186" s="35" t="s">
        <v>1040</v>
      </c>
      <c r="AZ186" s="35" t="s">
        <v>1069</v>
      </c>
      <c r="BA186" s="28" t="s">
        <v>1085</v>
      </c>
      <c r="BC186" s="34">
        <f>AW186+AX186</f>
        <v>0</v>
      </c>
      <c r="BD186" s="34">
        <f>H186/(100-BE186)*100</f>
        <v>0</v>
      </c>
      <c r="BE186" s="34">
        <v>0</v>
      </c>
      <c r="BF186" s="34">
        <f>186</f>
        <v>186</v>
      </c>
      <c r="BH186" s="18">
        <f>G186*AO186</f>
        <v>0</v>
      </c>
      <c r="BI186" s="18">
        <f>G186*AP186</f>
        <v>0</v>
      </c>
      <c r="BJ186" s="18">
        <f>G186*H186</f>
        <v>0</v>
      </c>
    </row>
    <row r="187" spans="3:7" ht="12.75">
      <c r="C187" s="101" t="s">
        <v>682</v>
      </c>
      <c r="D187" s="102"/>
      <c r="E187" s="102"/>
      <c r="G187" s="64">
        <v>29.52</v>
      </c>
    </row>
    <row r="188" spans="1:62" ht="12.75">
      <c r="A188" s="5" t="s">
        <v>79</v>
      </c>
      <c r="B188" s="5" t="s">
        <v>399</v>
      </c>
      <c r="C188" s="99" t="s">
        <v>683</v>
      </c>
      <c r="D188" s="100"/>
      <c r="E188" s="100"/>
      <c r="F188" s="5" t="s">
        <v>986</v>
      </c>
      <c r="G188" s="63">
        <v>1</v>
      </c>
      <c r="H188" s="18">
        <v>0</v>
      </c>
      <c r="I188" s="18">
        <f>G188*AO188</f>
        <v>0</v>
      </c>
      <c r="J188" s="18">
        <f>G188*AP188</f>
        <v>0</v>
      </c>
      <c r="K188" s="18">
        <f>G188*H188</f>
        <v>0</v>
      </c>
      <c r="L188" s="29"/>
      <c r="Z188" s="34">
        <f>IF(AQ188="5",BJ188,0)</f>
        <v>0</v>
      </c>
      <c r="AB188" s="34">
        <f>IF(AQ188="1",BH188,0)</f>
        <v>0</v>
      </c>
      <c r="AC188" s="34">
        <f>IF(AQ188="1",BI188,0)</f>
        <v>0</v>
      </c>
      <c r="AD188" s="34">
        <f>IF(AQ188="7",BH188,0)</f>
        <v>0</v>
      </c>
      <c r="AE188" s="34">
        <f>IF(AQ188="7",BI188,0)</f>
        <v>0</v>
      </c>
      <c r="AF188" s="34">
        <f>IF(AQ188="2",BH188,0)</f>
        <v>0</v>
      </c>
      <c r="AG188" s="34">
        <f>IF(AQ188="2",BI188,0)</f>
        <v>0</v>
      </c>
      <c r="AH188" s="34">
        <f>IF(AQ188="0",BJ188,0)</f>
        <v>0</v>
      </c>
      <c r="AI188" s="28" t="s">
        <v>1020</v>
      </c>
      <c r="AJ188" s="18">
        <f>IF(AN188=0,K188,0)</f>
        <v>0</v>
      </c>
      <c r="AK188" s="18">
        <f>IF(AN188=15,K188,0)</f>
        <v>0</v>
      </c>
      <c r="AL188" s="18">
        <f>IF(AN188=21,K188,0)</f>
        <v>0</v>
      </c>
      <c r="AN188" s="34">
        <v>21</v>
      </c>
      <c r="AO188" s="34">
        <f>H188*0.0203183023872679</f>
        <v>0</v>
      </c>
      <c r="AP188" s="34">
        <f>H188*(1-0.0203183023872679)</f>
        <v>0</v>
      </c>
      <c r="AQ188" s="29" t="s">
        <v>12</v>
      </c>
      <c r="AV188" s="34">
        <f>AW188+AX188</f>
        <v>0</v>
      </c>
      <c r="AW188" s="34">
        <f>G188*AO188</f>
        <v>0</v>
      </c>
      <c r="AX188" s="34">
        <f>G188*AP188</f>
        <v>0</v>
      </c>
      <c r="AY188" s="35" t="s">
        <v>1040</v>
      </c>
      <c r="AZ188" s="35" t="s">
        <v>1069</v>
      </c>
      <c r="BA188" s="28" t="s">
        <v>1085</v>
      </c>
      <c r="BC188" s="34">
        <f>AW188+AX188</f>
        <v>0</v>
      </c>
      <c r="BD188" s="34">
        <f>H188/(100-BE188)*100</f>
        <v>0</v>
      </c>
      <c r="BE188" s="34">
        <v>0</v>
      </c>
      <c r="BF188" s="34">
        <f>188</f>
        <v>188</v>
      </c>
      <c r="BH188" s="18">
        <f>G188*AO188</f>
        <v>0</v>
      </c>
      <c r="BI188" s="18">
        <f>G188*AP188</f>
        <v>0</v>
      </c>
      <c r="BJ188" s="18">
        <f>G188*H188</f>
        <v>0</v>
      </c>
    </row>
    <row r="189" spans="3:7" ht="12.75">
      <c r="C189" s="101" t="s">
        <v>684</v>
      </c>
      <c r="D189" s="102"/>
      <c r="E189" s="102"/>
      <c r="G189" s="64">
        <v>1</v>
      </c>
    </row>
    <row r="190" spans="1:62" ht="12.75">
      <c r="A190" s="5" t="s">
        <v>80</v>
      </c>
      <c r="B190" s="5" t="s">
        <v>400</v>
      </c>
      <c r="C190" s="99" t="s">
        <v>685</v>
      </c>
      <c r="D190" s="100"/>
      <c r="E190" s="100"/>
      <c r="F190" s="5" t="s">
        <v>986</v>
      </c>
      <c r="G190" s="63">
        <v>2</v>
      </c>
      <c r="H190" s="18">
        <v>0</v>
      </c>
      <c r="I190" s="18">
        <f>G190*AO190</f>
        <v>0</v>
      </c>
      <c r="J190" s="18">
        <f>G190*AP190</f>
        <v>0</v>
      </c>
      <c r="K190" s="18">
        <f>G190*H190</f>
        <v>0</v>
      </c>
      <c r="L190" s="29"/>
      <c r="Z190" s="34">
        <f>IF(AQ190="5",BJ190,0)</f>
        <v>0</v>
      </c>
      <c r="AB190" s="34">
        <f>IF(AQ190="1",BH190,0)</f>
        <v>0</v>
      </c>
      <c r="AC190" s="34">
        <f>IF(AQ190="1",BI190,0)</f>
        <v>0</v>
      </c>
      <c r="AD190" s="34">
        <f>IF(AQ190="7",BH190,0)</f>
        <v>0</v>
      </c>
      <c r="AE190" s="34">
        <f>IF(AQ190="7",BI190,0)</f>
        <v>0</v>
      </c>
      <c r="AF190" s="34">
        <f>IF(AQ190="2",BH190,0)</f>
        <v>0</v>
      </c>
      <c r="AG190" s="34">
        <f>IF(AQ190="2",BI190,0)</f>
        <v>0</v>
      </c>
      <c r="AH190" s="34">
        <f>IF(AQ190="0",BJ190,0)</f>
        <v>0</v>
      </c>
      <c r="AI190" s="28" t="s">
        <v>1020</v>
      </c>
      <c r="AJ190" s="18">
        <f>IF(AN190=0,K190,0)</f>
        <v>0</v>
      </c>
      <c r="AK190" s="18">
        <f>IF(AN190=15,K190,0)</f>
        <v>0</v>
      </c>
      <c r="AL190" s="18">
        <f>IF(AN190=21,K190,0)</f>
        <v>0</v>
      </c>
      <c r="AN190" s="34">
        <v>21</v>
      </c>
      <c r="AO190" s="34">
        <f>H190*0.0153507014028056</f>
        <v>0</v>
      </c>
      <c r="AP190" s="34">
        <f>H190*(1-0.0153507014028056)</f>
        <v>0</v>
      </c>
      <c r="AQ190" s="29" t="s">
        <v>12</v>
      </c>
      <c r="AV190" s="34">
        <f>AW190+AX190</f>
        <v>0</v>
      </c>
      <c r="AW190" s="34">
        <f>G190*AO190</f>
        <v>0</v>
      </c>
      <c r="AX190" s="34">
        <f>G190*AP190</f>
        <v>0</v>
      </c>
      <c r="AY190" s="35" t="s">
        <v>1040</v>
      </c>
      <c r="AZ190" s="35" t="s">
        <v>1069</v>
      </c>
      <c r="BA190" s="28" t="s">
        <v>1085</v>
      </c>
      <c r="BC190" s="34">
        <f>AW190+AX190</f>
        <v>0</v>
      </c>
      <c r="BD190" s="34">
        <f>H190/(100-BE190)*100</f>
        <v>0</v>
      </c>
      <c r="BE190" s="34">
        <v>0</v>
      </c>
      <c r="BF190" s="34">
        <f>190</f>
        <v>190</v>
      </c>
      <c r="BH190" s="18">
        <f>G190*AO190</f>
        <v>0</v>
      </c>
      <c r="BI190" s="18">
        <f>G190*AP190</f>
        <v>0</v>
      </c>
      <c r="BJ190" s="18">
        <f>G190*H190</f>
        <v>0</v>
      </c>
    </row>
    <row r="191" spans="3:7" ht="12.75">
      <c r="C191" s="101" t="s">
        <v>7</v>
      </c>
      <c r="D191" s="102"/>
      <c r="E191" s="102"/>
      <c r="G191" s="64">
        <v>2</v>
      </c>
    </row>
    <row r="192" spans="1:62" ht="12.75">
      <c r="A192" s="5" t="s">
        <v>81</v>
      </c>
      <c r="B192" s="5" t="s">
        <v>401</v>
      </c>
      <c r="C192" s="99" t="s">
        <v>686</v>
      </c>
      <c r="D192" s="100"/>
      <c r="E192" s="100"/>
      <c r="F192" s="5" t="s">
        <v>987</v>
      </c>
      <c r="G192" s="63">
        <v>0.672</v>
      </c>
      <c r="H192" s="18">
        <v>0</v>
      </c>
      <c r="I192" s="18">
        <f>G192*AO192</f>
        <v>0</v>
      </c>
      <c r="J192" s="18">
        <f>G192*AP192</f>
        <v>0</v>
      </c>
      <c r="K192" s="18">
        <f>G192*H192</f>
        <v>0</v>
      </c>
      <c r="L192" s="29"/>
      <c r="Z192" s="34">
        <f>IF(AQ192="5",BJ192,0)</f>
        <v>0</v>
      </c>
      <c r="AB192" s="34">
        <f>IF(AQ192="1",BH192,0)</f>
        <v>0</v>
      </c>
      <c r="AC192" s="34">
        <f>IF(AQ192="1",BI192,0)</f>
        <v>0</v>
      </c>
      <c r="AD192" s="34">
        <f>IF(AQ192="7",BH192,0)</f>
        <v>0</v>
      </c>
      <c r="AE192" s="34">
        <f>IF(AQ192="7",BI192,0)</f>
        <v>0</v>
      </c>
      <c r="AF192" s="34">
        <f>IF(AQ192="2",BH192,0)</f>
        <v>0</v>
      </c>
      <c r="AG192" s="34">
        <f>IF(AQ192="2",BI192,0)</f>
        <v>0</v>
      </c>
      <c r="AH192" s="34">
        <f>IF(AQ192="0",BJ192,0)</f>
        <v>0</v>
      </c>
      <c r="AI192" s="28" t="s">
        <v>1020</v>
      </c>
      <c r="AJ192" s="18">
        <f>IF(AN192=0,K192,0)</f>
        <v>0</v>
      </c>
      <c r="AK192" s="18">
        <f>IF(AN192=15,K192,0)</f>
        <v>0</v>
      </c>
      <c r="AL192" s="18">
        <f>IF(AN192=21,K192,0)</f>
        <v>0</v>
      </c>
      <c r="AN192" s="34">
        <v>21</v>
      </c>
      <c r="AO192" s="34">
        <f>H192*0</f>
        <v>0</v>
      </c>
      <c r="AP192" s="34">
        <f>H192*(1-0)</f>
        <v>0</v>
      </c>
      <c r="AQ192" s="29" t="s">
        <v>10</v>
      </c>
      <c r="AV192" s="34">
        <f>AW192+AX192</f>
        <v>0</v>
      </c>
      <c r="AW192" s="34">
        <f>G192*AO192</f>
        <v>0</v>
      </c>
      <c r="AX192" s="34">
        <f>G192*AP192</f>
        <v>0</v>
      </c>
      <c r="AY192" s="35" t="s">
        <v>1040</v>
      </c>
      <c r="AZ192" s="35" t="s">
        <v>1069</v>
      </c>
      <c r="BA192" s="28" t="s">
        <v>1085</v>
      </c>
      <c r="BC192" s="34">
        <f>AW192+AX192</f>
        <v>0</v>
      </c>
      <c r="BD192" s="34">
        <f>H192/(100-BE192)*100</f>
        <v>0</v>
      </c>
      <c r="BE192" s="34">
        <v>0</v>
      </c>
      <c r="BF192" s="34">
        <f>192</f>
        <v>192</v>
      </c>
      <c r="BH192" s="18">
        <f>G192*AO192</f>
        <v>0</v>
      </c>
      <c r="BI192" s="18">
        <f>G192*AP192</f>
        <v>0</v>
      </c>
      <c r="BJ192" s="18">
        <f>G192*H192</f>
        <v>0</v>
      </c>
    </row>
    <row r="193" spans="3:7" ht="12.75">
      <c r="C193" s="101" t="s">
        <v>687</v>
      </c>
      <c r="D193" s="102"/>
      <c r="E193" s="102"/>
      <c r="G193" s="64">
        <v>0.672</v>
      </c>
    </row>
    <row r="194" spans="1:47" ht="12.75">
      <c r="A194" s="4"/>
      <c r="B194" s="14" t="s">
        <v>402</v>
      </c>
      <c r="C194" s="97" t="s">
        <v>688</v>
      </c>
      <c r="D194" s="98"/>
      <c r="E194" s="98"/>
      <c r="F194" s="4" t="s">
        <v>5</v>
      </c>
      <c r="G194" s="4" t="s">
        <v>5</v>
      </c>
      <c r="H194" s="4" t="s">
        <v>5</v>
      </c>
      <c r="I194" s="37">
        <f>SUM(I195:I219)</f>
        <v>0</v>
      </c>
      <c r="J194" s="37">
        <f>SUM(J195:J219)</f>
        <v>0</v>
      </c>
      <c r="K194" s="37">
        <f>SUM(K195:K219)</f>
        <v>0</v>
      </c>
      <c r="L194" s="28"/>
      <c r="AI194" s="28" t="s">
        <v>1020</v>
      </c>
      <c r="AS194" s="37">
        <f>SUM(AJ195:AJ219)</f>
        <v>0</v>
      </c>
      <c r="AT194" s="37">
        <f>SUM(AK195:AK219)</f>
        <v>0</v>
      </c>
      <c r="AU194" s="37">
        <f>SUM(AL195:AL219)</f>
        <v>0</v>
      </c>
    </row>
    <row r="195" spans="1:62" ht="12.75">
      <c r="A195" s="5" t="s">
        <v>82</v>
      </c>
      <c r="B195" s="5" t="s">
        <v>403</v>
      </c>
      <c r="C195" s="99" t="s">
        <v>689</v>
      </c>
      <c r="D195" s="100"/>
      <c r="E195" s="100"/>
      <c r="F195" s="5" t="s">
        <v>986</v>
      </c>
      <c r="G195" s="63">
        <v>10</v>
      </c>
      <c r="H195" s="18">
        <v>0</v>
      </c>
      <c r="I195" s="18">
        <f>G195*AO195</f>
        <v>0</v>
      </c>
      <c r="J195" s="18">
        <f>G195*AP195</f>
        <v>0</v>
      </c>
      <c r="K195" s="18">
        <f>G195*H195</f>
        <v>0</v>
      </c>
      <c r="L195" s="29"/>
      <c r="Z195" s="34">
        <f>IF(AQ195="5",BJ195,0)</f>
        <v>0</v>
      </c>
      <c r="AB195" s="34">
        <f>IF(AQ195="1",BH195,0)</f>
        <v>0</v>
      </c>
      <c r="AC195" s="34">
        <f>IF(AQ195="1",BI195,0)</f>
        <v>0</v>
      </c>
      <c r="AD195" s="34">
        <f>IF(AQ195="7",BH195,0)</f>
        <v>0</v>
      </c>
      <c r="AE195" s="34">
        <f>IF(AQ195="7",BI195,0)</f>
        <v>0</v>
      </c>
      <c r="AF195" s="34">
        <f>IF(AQ195="2",BH195,0)</f>
        <v>0</v>
      </c>
      <c r="AG195" s="34">
        <f>IF(AQ195="2",BI195,0)</f>
        <v>0</v>
      </c>
      <c r="AH195" s="34">
        <f>IF(AQ195="0",BJ195,0)</f>
        <v>0</v>
      </c>
      <c r="AI195" s="28" t="s">
        <v>1020</v>
      </c>
      <c r="AJ195" s="18">
        <f>IF(AN195=0,K195,0)</f>
        <v>0</v>
      </c>
      <c r="AK195" s="18">
        <f>IF(AN195=15,K195,0)</f>
        <v>0</v>
      </c>
      <c r="AL195" s="18">
        <f>IF(AN195=21,K195,0)</f>
        <v>0</v>
      </c>
      <c r="AN195" s="34">
        <v>21</v>
      </c>
      <c r="AO195" s="34">
        <f>H195*0.804564112092701</f>
        <v>0</v>
      </c>
      <c r="AP195" s="34">
        <f>H195*(1-0.804564112092701)</f>
        <v>0</v>
      </c>
      <c r="AQ195" s="29" t="s">
        <v>12</v>
      </c>
      <c r="AV195" s="34">
        <f>AW195+AX195</f>
        <v>0</v>
      </c>
      <c r="AW195" s="34">
        <f>G195*AO195</f>
        <v>0</v>
      </c>
      <c r="AX195" s="34">
        <f>G195*AP195</f>
        <v>0</v>
      </c>
      <c r="AY195" s="35" t="s">
        <v>1041</v>
      </c>
      <c r="AZ195" s="35" t="s">
        <v>1069</v>
      </c>
      <c r="BA195" s="28" t="s">
        <v>1085</v>
      </c>
      <c r="BC195" s="34">
        <f>AW195+AX195</f>
        <v>0</v>
      </c>
      <c r="BD195" s="34">
        <f>H195/(100-BE195)*100</f>
        <v>0</v>
      </c>
      <c r="BE195" s="34">
        <v>0</v>
      </c>
      <c r="BF195" s="34">
        <f>195</f>
        <v>195</v>
      </c>
      <c r="BH195" s="18">
        <f>G195*AO195</f>
        <v>0</v>
      </c>
      <c r="BI195" s="18">
        <f>G195*AP195</f>
        <v>0</v>
      </c>
      <c r="BJ195" s="18">
        <f>G195*H195</f>
        <v>0</v>
      </c>
    </row>
    <row r="196" spans="3:7" ht="12.75">
      <c r="C196" s="101" t="s">
        <v>690</v>
      </c>
      <c r="D196" s="102"/>
      <c r="E196" s="102"/>
      <c r="G196" s="64">
        <v>10</v>
      </c>
    </row>
    <row r="197" spans="1:62" ht="12.75">
      <c r="A197" s="5" t="s">
        <v>83</v>
      </c>
      <c r="B197" s="5" t="s">
        <v>403</v>
      </c>
      <c r="C197" s="99" t="s">
        <v>691</v>
      </c>
      <c r="D197" s="100"/>
      <c r="E197" s="100"/>
      <c r="F197" s="5" t="s">
        <v>986</v>
      </c>
      <c r="G197" s="63">
        <v>1.25</v>
      </c>
      <c r="H197" s="18">
        <v>0</v>
      </c>
      <c r="I197" s="18">
        <f>G197*AO197</f>
        <v>0</v>
      </c>
      <c r="J197" s="18">
        <f>G197*AP197</f>
        <v>0</v>
      </c>
      <c r="K197" s="18">
        <f>G197*H197</f>
        <v>0</v>
      </c>
      <c r="L197" s="29"/>
      <c r="Z197" s="34">
        <f>IF(AQ197="5",BJ197,0)</f>
        <v>0</v>
      </c>
      <c r="AB197" s="34">
        <f>IF(AQ197="1",BH197,0)</f>
        <v>0</v>
      </c>
      <c r="AC197" s="34">
        <f>IF(AQ197="1",BI197,0)</f>
        <v>0</v>
      </c>
      <c r="AD197" s="34">
        <f>IF(AQ197="7",BH197,0)</f>
        <v>0</v>
      </c>
      <c r="AE197" s="34">
        <f>IF(AQ197="7",BI197,0)</f>
        <v>0</v>
      </c>
      <c r="AF197" s="34">
        <f>IF(AQ197="2",BH197,0)</f>
        <v>0</v>
      </c>
      <c r="AG197" s="34">
        <f>IF(AQ197="2",BI197,0)</f>
        <v>0</v>
      </c>
      <c r="AH197" s="34">
        <f>IF(AQ197="0",BJ197,0)</f>
        <v>0</v>
      </c>
      <c r="AI197" s="28" t="s">
        <v>1020</v>
      </c>
      <c r="AJ197" s="18">
        <f>IF(AN197=0,K197,0)</f>
        <v>0</v>
      </c>
      <c r="AK197" s="18">
        <f>IF(AN197=15,K197,0)</f>
        <v>0</v>
      </c>
      <c r="AL197" s="18">
        <f>IF(AN197=21,K197,0)</f>
        <v>0</v>
      </c>
      <c r="AN197" s="34">
        <v>21</v>
      </c>
      <c r="AO197" s="34">
        <f>H197*0.804566830177971</f>
        <v>0</v>
      </c>
      <c r="AP197" s="34">
        <f>H197*(1-0.804566830177971)</f>
        <v>0</v>
      </c>
      <c r="AQ197" s="29" t="s">
        <v>12</v>
      </c>
      <c r="AV197" s="34">
        <f>AW197+AX197</f>
        <v>0</v>
      </c>
      <c r="AW197" s="34">
        <f>G197*AO197</f>
        <v>0</v>
      </c>
      <c r="AX197" s="34">
        <f>G197*AP197</f>
        <v>0</v>
      </c>
      <c r="AY197" s="35" t="s">
        <v>1041</v>
      </c>
      <c r="AZ197" s="35" t="s">
        <v>1069</v>
      </c>
      <c r="BA197" s="28" t="s">
        <v>1085</v>
      </c>
      <c r="BC197" s="34">
        <f>AW197+AX197</f>
        <v>0</v>
      </c>
      <c r="BD197" s="34">
        <f>H197/(100-BE197)*100</f>
        <v>0</v>
      </c>
      <c r="BE197" s="34">
        <v>0</v>
      </c>
      <c r="BF197" s="34">
        <f>197</f>
        <v>197</v>
      </c>
      <c r="BH197" s="18">
        <f>G197*AO197</f>
        <v>0</v>
      </c>
      <c r="BI197" s="18">
        <f>G197*AP197</f>
        <v>0</v>
      </c>
      <c r="BJ197" s="18">
        <f>G197*H197</f>
        <v>0</v>
      </c>
    </row>
    <row r="198" spans="3:7" ht="12.75">
      <c r="C198" s="101" t="s">
        <v>692</v>
      </c>
      <c r="D198" s="102"/>
      <c r="E198" s="102"/>
      <c r="G198" s="64">
        <v>1.25</v>
      </c>
    </row>
    <row r="199" spans="1:62" ht="12.75">
      <c r="A199" s="5" t="s">
        <v>84</v>
      </c>
      <c r="B199" s="5" t="s">
        <v>403</v>
      </c>
      <c r="C199" s="99" t="s">
        <v>693</v>
      </c>
      <c r="D199" s="100"/>
      <c r="E199" s="100"/>
      <c r="F199" s="5" t="s">
        <v>986</v>
      </c>
      <c r="G199" s="63">
        <v>12.6</v>
      </c>
      <c r="H199" s="18">
        <v>0</v>
      </c>
      <c r="I199" s="18">
        <f>G199*AO199</f>
        <v>0</v>
      </c>
      <c r="J199" s="18">
        <f>G199*AP199</f>
        <v>0</v>
      </c>
      <c r="K199" s="18">
        <f>G199*H199</f>
        <v>0</v>
      </c>
      <c r="L199" s="29"/>
      <c r="Z199" s="34">
        <f>IF(AQ199="5",BJ199,0)</f>
        <v>0</v>
      </c>
      <c r="AB199" s="34">
        <f>IF(AQ199="1",BH199,0)</f>
        <v>0</v>
      </c>
      <c r="AC199" s="34">
        <f>IF(AQ199="1",BI199,0)</f>
        <v>0</v>
      </c>
      <c r="AD199" s="34">
        <f>IF(AQ199="7",BH199,0)</f>
        <v>0</v>
      </c>
      <c r="AE199" s="34">
        <f>IF(AQ199="7",BI199,0)</f>
        <v>0</v>
      </c>
      <c r="AF199" s="34">
        <f>IF(AQ199="2",BH199,0)</f>
        <v>0</v>
      </c>
      <c r="AG199" s="34">
        <f>IF(AQ199="2",BI199,0)</f>
        <v>0</v>
      </c>
      <c r="AH199" s="34">
        <f>IF(AQ199="0",BJ199,0)</f>
        <v>0</v>
      </c>
      <c r="AI199" s="28" t="s">
        <v>1020</v>
      </c>
      <c r="AJ199" s="18">
        <f>IF(AN199=0,K199,0)</f>
        <v>0</v>
      </c>
      <c r="AK199" s="18">
        <f>IF(AN199=15,K199,0)</f>
        <v>0</v>
      </c>
      <c r="AL199" s="18">
        <f>IF(AN199=21,K199,0)</f>
        <v>0</v>
      </c>
      <c r="AN199" s="34">
        <v>21</v>
      </c>
      <c r="AO199" s="34">
        <f>H199*0.804563680652284</f>
        <v>0</v>
      </c>
      <c r="AP199" s="34">
        <f>H199*(1-0.804563680652284)</f>
        <v>0</v>
      </c>
      <c r="AQ199" s="29" t="s">
        <v>12</v>
      </c>
      <c r="AV199" s="34">
        <f>AW199+AX199</f>
        <v>0</v>
      </c>
      <c r="AW199" s="34">
        <f>G199*AO199</f>
        <v>0</v>
      </c>
      <c r="AX199" s="34">
        <f>G199*AP199</f>
        <v>0</v>
      </c>
      <c r="AY199" s="35" t="s">
        <v>1041</v>
      </c>
      <c r="AZ199" s="35" t="s">
        <v>1069</v>
      </c>
      <c r="BA199" s="28" t="s">
        <v>1085</v>
      </c>
      <c r="BC199" s="34">
        <f>AW199+AX199</f>
        <v>0</v>
      </c>
      <c r="BD199" s="34">
        <f>H199/(100-BE199)*100</f>
        <v>0</v>
      </c>
      <c r="BE199" s="34">
        <v>0</v>
      </c>
      <c r="BF199" s="34">
        <f>199</f>
        <v>199</v>
      </c>
      <c r="BH199" s="18">
        <f>G199*AO199</f>
        <v>0</v>
      </c>
      <c r="BI199" s="18">
        <f>G199*AP199</f>
        <v>0</v>
      </c>
      <c r="BJ199" s="18">
        <f>G199*H199</f>
        <v>0</v>
      </c>
    </row>
    <row r="200" spans="3:7" ht="12.75">
      <c r="C200" s="101" t="s">
        <v>694</v>
      </c>
      <c r="D200" s="102"/>
      <c r="E200" s="102"/>
      <c r="G200" s="64">
        <v>12.6</v>
      </c>
    </row>
    <row r="201" spans="1:62" ht="12.75">
      <c r="A201" s="5" t="s">
        <v>85</v>
      </c>
      <c r="B201" s="5" t="s">
        <v>404</v>
      </c>
      <c r="C201" s="99" t="s">
        <v>695</v>
      </c>
      <c r="D201" s="100"/>
      <c r="E201" s="100"/>
      <c r="F201" s="5" t="s">
        <v>986</v>
      </c>
      <c r="G201" s="63">
        <v>19.8</v>
      </c>
      <c r="H201" s="18">
        <v>0</v>
      </c>
      <c r="I201" s="18">
        <f>G201*AO201</f>
        <v>0</v>
      </c>
      <c r="J201" s="18">
        <f>G201*AP201</f>
        <v>0</v>
      </c>
      <c r="K201" s="18">
        <f>G201*H201</f>
        <v>0</v>
      </c>
      <c r="L201" s="29"/>
      <c r="Z201" s="34">
        <f>IF(AQ201="5",BJ201,0)</f>
        <v>0</v>
      </c>
      <c r="AB201" s="34">
        <f>IF(AQ201="1",BH201,0)</f>
        <v>0</v>
      </c>
      <c r="AC201" s="34">
        <f>IF(AQ201="1",BI201,0)</f>
        <v>0</v>
      </c>
      <c r="AD201" s="34">
        <f>IF(AQ201="7",BH201,0)</f>
        <v>0</v>
      </c>
      <c r="AE201" s="34">
        <f>IF(AQ201="7",BI201,0)</f>
        <v>0</v>
      </c>
      <c r="AF201" s="34">
        <f>IF(AQ201="2",BH201,0)</f>
        <v>0</v>
      </c>
      <c r="AG201" s="34">
        <f>IF(AQ201="2",BI201,0)</f>
        <v>0</v>
      </c>
      <c r="AH201" s="34">
        <f>IF(AQ201="0",BJ201,0)</f>
        <v>0</v>
      </c>
      <c r="AI201" s="28" t="s">
        <v>1020</v>
      </c>
      <c r="AJ201" s="18">
        <f>IF(AN201=0,K201,0)</f>
        <v>0</v>
      </c>
      <c r="AK201" s="18">
        <f>IF(AN201=15,K201,0)</f>
        <v>0</v>
      </c>
      <c r="AL201" s="18">
        <f>IF(AN201=21,K201,0)</f>
        <v>0</v>
      </c>
      <c r="AN201" s="34">
        <v>21</v>
      </c>
      <c r="AO201" s="34">
        <f>H201*0.798656921502704</f>
        <v>0</v>
      </c>
      <c r="AP201" s="34">
        <f>H201*(1-0.798656921502704)</f>
        <v>0</v>
      </c>
      <c r="AQ201" s="29" t="s">
        <v>12</v>
      </c>
      <c r="AV201" s="34">
        <f>AW201+AX201</f>
        <v>0</v>
      </c>
      <c r="AW201" s="34">
        <f>G201*AO201</f>
        <v>0</v>
      </c>
      <c r="AX201" s="34">
        <f>G201*AP201</f>
        <v>0</v>
      </c>
      <c r="AY201" s="35" t="s">
        <v>1041</v>
      </c>
      <c r="AZ201" s="35" t="s">
        <v>1069</v>
      </c>
      <c r="BA201" s="28" t="s">
        <v>1085</v>
      </c>
      <c r="BC201" s="34">
        <f>AW201+AX201</f>
        <v>0</v>
      </c>
      <c r="BD201" s="34">
        <f>H201/(100-BE201)*100</f>
        <v>0</v>
      </c>
      <c r="BE201" s="34">
        <v>0</v>
      </c>
      <c r="BF201" s="34">
        <f>201</f>
        <v>201</v>
      </c>
      <c r="BH201" s="18">
        <f>G201*AO201</f>
        <v>0</v>
      </c>
      <c r="BI201" s="18">
        <f>G201*AP201</f>
        <v>0</v>
      </c>
      <c r="BJ201" s="18">
        <f>G201*H201</f>
        <v>0</v>
      </c>
    </row>
    <row r="202" spans="3:7" ht="12.75">
      <c r="C202" s="101" t="s">
        <v>696</v>
      </c>
      <c r="D202" s="102"/>
      <c r="E202" s="102"/>
      <c r="G202" s="64">
        <v>19.8</v>
      </c>
    </row>
    <row r="203" spans="1:62" ht="12.75">
      <c r="A203" s="5" t="s">
        <v>86</v>
      </c>
      <c r="B203" s="5" t="s">
        <v>405</v>
      </c>
      <c r="C203" s="99" t="s">
        <v>697</v>
      </c>
      <c r="D203" s="100"/>
      <c r="E203" s="100"/>
      <c r="F203" s="5" t="s">
        <v>986</v>
      </c>
      <c r="G203" s="63">
        <v>10.8</v>
      </c>
      <c r="H203" s="18">
        <v>0</v>
      </c>
      <c r="I203" s="18">
        <f>G203*AO203</f>
        <v>0</v>
      </c>
      <c r="J203" s="18">
        <f>G203*AP203</f>
        <v>0</v>
      </c>
      <c r="K203" s="18">
        <f>G203*H203</f>
        <v>0</v>
      </c>
      <c r="L203" s="29"/>
      <c r="Z203" s="34">
        <f>IF(AQ203="5",BJ203,0)</f>
        <v>0</v>
      </c>
      <c r="AB203" s="34">
        <f>IF(AQ203="1",BH203,0)</f>
        <v>0</v>
      </c>
      <c r="AC203" s="34">
        <f>IF(AQ203="1",BI203,0)</f>
        <v>0</v>
      </c>
      <c r="AD203" s="34">
        <f>IF(AQ203="7",BH203,0)</f>
        <v>0</v>
      </c>
      <c r="AE203" s="34">
        <f>IF(AQ203="7",BI203,0)</f>
        <v>0</v>
      </c>
      <c r="AF203" s="34">
        <f>IF(AQ203="2",BH203,0)</f>
        <v>0</v>
      </c>
      <c r="AG203" s="34">
        <f>IF(AQ203="2",BI203,0)</f>
        <v>0</v>
      </c>
      <c r="AH203" s="34">
        <f>IF(AQ203="0",BJ203,0)</f>
        <v>0</v>
      </c>
      <c r="AI203" s="28" t="s">
        <v>1020</v>
      </c>
      <c r="AJ203" s="18">
        <f>IF(AN203=0,K203,0)</f>
        <v>0</v>
      </c>
      <c r="AK203" s="18">
        <f>IF(AN203=15,K203,0)</f>
        <v>0</v>
      </c>
      <c r="AL203" s="18">
        <f>IF(AN203=21,K203,0)</f>
        <v>0</v>
      </c>
      <c r="AN203" s="34">
        <v>21</v>
      </c>
      <c r="AO203" s="34">
        <f>H203*0.0377289377289377</f>
        <v>0</v>
      </c>
      <c r="AP203" s="34">
        <f>H203*(1-0.0377289377289377)</f>
        <v>0</v>
      </c>
      <c r="AQ203" s="29" t="s">
        <v>12</v>
      </c>
      <c r="AV203" s="34">
        <f>AW203+AX203</f>
        <v>0</v>
      </c>
      <c r="AW203" s="34">
        <f>G203*AO203</f>
        <v>0</v>
      </c>
      <c r="AX203" s="34">
        <f>G203*AP203</f>
        <v>0</v>
      </c>
      <c r="AY203" s="35" t="s">
        <v>1041</v>
      </c>
      <c r="AZ203" s="35" t="s">
        <v>1069</v>
      </c>
      <c r="BA203" s="28" t="s">
        <v>1085</v>
      </c>
      <c r="BC203" s="34">
        <f>AW203+AX203</f>
        <v>0</v>
      </c>
      <c r="BD203" s="34">
        <f>H203/(100-BE203)*100</f>
        <v>0</v>
      </c>
      <c r="BE203" s="34">
        <v>0</v>
      </c>
      <c r="BF203" s="34">
        <f>203</f>
        <v>203</v>
      </c>
      <c r="BH203" s="18">
        <f>G203*AO203</f>
        <v>0</v>
      </c>
      <c r="BI203" s="18">
        <f>G203*AP203</f>
        <v>0</v>
      </c>
      <c r="BJ203" s="18">
        <f>G203*H203</f>
        <v>0</v>
      </c>
    </row>
    <row r="204" spans="3:7" ht="12.75">
      <c r="C204" s="101" t="s">
        <v>698</v>
      </c>
      <c r="D204" s="102"/>
      <c r="E204" s="102"/>
      <c r="G204" s="64">
        <v>10.8</v>
      </c>
    </row>
    <row r="205" spans="1:62" ht="12.75">
      <c r="A205" s="6" t="s">
        <v>87</v>
      </c>
      <c r="B205" s="6" t="s">
        <v>406</v>
      </c>
      <c r="C205" s="103" t="s">
        <v>699</v>
      </c>
      <c r="D205" s="104"/>
      <c r="E205" s="104"/>
      <c r="F205" s="6" t="s">
        <v>984</v>
      </c>
      <c r="G205" s="65">
        <v>10.217</v>
      </c>
      <c r="H205" s="19">
        <v>0</v>
      </c>
      <c r="I205" s="19">
        <f>G205*AO205</f>
        <v>0</v>
      </c>
      <c r="J205" s="19">
        <f>G205*AP205</f>
        <v>0</v>
      </c>
      <c r="K205" s="19">
        <f>G205*H205</f>
        <v>0</v>
      </c>
      <c r="L205" s="30"/>
      <c r="Z205" s="34">
        <f>IF(AQ205="5",BJ205,0)</f>
        <v>0</v>
      </c>
      <c r="AB205" s="34">
        <f>IF(AQ205="1",BH205,0)</f>
        <v>0</v>
      </c>
      <c r="AC205" s="34">
        <f>IF(AQ205="1",BI205,0)</f>
        <v>0</v>
      </c>
      <c r="AD205" s="34">
        <f>IF(AQ205="7",BH205,0)</f>
        <v>0</v>
      </c>
      <c r="AE205" s="34">
        <f>IF(AQ205="7",BI205,0)</f>
        <v>0</v>
      </c>
      <c r="AF205" s="34">
        <f>IF(AQ205="2",BH205,0)</f>
        <v>0</v>
      </c>
      <c r="AG205" s="34">
        <f>IF(AQ205="2",BI205,0)</f>
        <v>0</v>
      </c>
      <c r="AH205" s="34">
        <f>IF(AQ205="0",BJ205,0)</f>
        <v>0</v>
      </c>
      <c r="AI205" s="28" t="s">
        <v>1020</v>
      </c>
      <c r="AJ205" s="19">
        <f>IF(AN205=0,K205,0)</f>
        <v>0</v>
      </c>
      <c r="AK205" s="19">
        <f>IF(AN205=15,K205,0)</f>
        <v>0</v>
      </c>
      <c r="AL205" s="19">
        <f>IF(AN205=21,K205,0)</f>
        <v>0</v>
      </c>
      <c r="AN205" s="34">
        <v>21</v>
      </c>
      <c r="AO205" s="34">
        <f>H205*1</f>
        <v>0</v>
      </c>
      <c r="AP205" s="34">
        <f>H205*(1-1)</f>
        <v>0</v>
      </c>
      <c r="AQ205" s="30" t="s">
        <v>12</v>
      </c>
      <c r="AV205" s="34">
        <f>AW205+AX205</f>
        <v>0</v>
      </c>
      <c r="AW205" s="34">
        <f>G205*AO205</f>
        <v>0</v>
      </c>
      <c r="AX205" s="34">
        <f>G205*AP205</f>
        <v>0</v>
      </c>
      <c r="AY205" s="35" t="s">
        <v>1041</v>
      </c>
      <c r="AZ205" s="35" t="s">
        <v>1069</v>
      </c>
      <c r="BA205" s="28" t="s">
        <v>1085</v>
      </c>
      <c r="BC205" s="34">
        <f>AW205+AX205</f>
        <v>0</v>
      </c>
      <c r="BD205" s="34">
        <f>H205/(100-BE205)*100</f>
        <v>0</v>
      </c>
      <c r="BE205" s="34">
        <v>0</v>
      </c>
      <c r="BF205" s="34">
        <f>205</f>
        <v>205</v>
      </c>
      <c r="BH205" s="19">
        <f>G205*AO205</f>
        <v>0</v>
      </c>
      <c r="BI205" s="19">
        <f>G205*AP205</f>
        <v>0</v>
      </c>
      <c r="BJ205" s="19">
        <f>G205*H205</f>
        <v>0</v>
      </c>
    </row>
    <row r="206" spans="3:7" ht="12.75">
      <c r="C206" s="101" t="s">
        <v>700</v>
      </c>
      <c r="D206" s="102"/>
      <c r="E206" s="102"/>
      <c r="G206" s="64">
        <v>9.288</v>
      </c>
    </row>
    <row r="207" spans="3:7" ht="12.75">
      <c r="C207" s="101" t="s">
        <v>701</v>
      </c>
      <c r="D207" s="102"/>
      <c r="E207" s="102"/>
      <c r="G207" s="64">
        <v>0.929</v>
      </c>
    </row>
    <row r="208" spans="1:62" ht="12.75">
      <c r="A208" s="5" t="s">
        <v>88</v>
      </c>
      <c r="B208" s="5" t="s">
        <v>405</v>
      </c>
      <c r="C208" s="99" t="s">
        <v>702</v>
      </c>
      <c r="D208" s="100"/>
      <c r="E208" s="100"/>
      <c r="F208" s="5" t="s">
        <v>986</v>
      </c>
      <c r="G208" s="63">
        <v>10.8</v>
      </c>
      <c r="H208" s="18">
        <v>0</v>
      </c>
      <c r="I208" s="18">
        <f>G208*AO208</f>
        <v>0</v>
      </c>
      <c r="J208" s="18">
        <f>G208*AP208</f>
        <v>0</v>
      </c>
      <c r="K208" s="18">
        <f>G208*H208</f>
        <v>0</v>
      </c>
      <c r="L208" s="29"/>
      <c r="Z208" s="34">
        <f>IF(AQ208="5",BJ208,0)</f>
        <v>0</v>
      </c>
      <c r="AB208" s="34">
        <f>IF(AQ208="1",BH208,0)</f>
        <v>0</v>
      </c>
      <c r="AC208" s="34">
        <f>IF(AQ208="1",BI208,0)</f>
        <v>0</v>
      </c>
      <c r="AD208" s="34">
        <f>IF(AQ208="7",BH208,0)</f>
        <v>0</v>
      </c>
      <c r="AE208" s="34">
        <f>IF(AQ208="7",BI208,0)</f>
        <v>0</v>
      </c>
      <c r="AF208" s="34">
        <f>IF(AQ208="2",BH208,0)</f>
        <v>0</v>
      </c>
      <c r="AG208" s="34">
        <f>IF(AQ208="2",BI208,0)</f>
        <v>0</v>
      </c>
      <c r="AH208" s="34">
        <f>IF(AQ208="0",BJ208,0)</f>
        <v>0</v>
      </c>
      <c r="AI208" s="28" t="s">
        <v>1020</v>
      </c>
      <c r="AJ208" s="18">
        <f>IF(AN208=0,K208,0)</f>
        <v>0</v>
      </c>
      <c r="AK208" s="18">
        <f>IF(AN208=15,K208,0)</f>
        <v>0</v>
      </c>
      <c r="AL208" s="18">
        <f>IF(AN208=21,K208,0)</f>
        <v>0</v>
      </c>
      <c r="AN208" s="34">
        <v>21</v>
      </c>
      <c r="AO208" s="34">
        <f>H208*0.0377289377289377</f>
        <v>0</v>
      </c>
      <c r="AP208" s="34">
        <f>H208*(1-0.0377289377289377)</f>
        <v>0</v>
      </c>
      <c r="AQ208" s="29" t="s">
        <v>12</v>
      </c>
      <c r="AV208" s="34">
        <f>AW208+AX208</f>
        <v>0</v>
      </c>
      <c r="AW208" s="34">
        <f>G208*AO208</f>
        <v>0</v>
      </c>
      <c r="AX208" s="34">
        <f>G208*AP208</f>
        <v>0</v>
      </c>
      <c r="AY208" s="35" t="s">
        <v>1041</v>
      </c>
      <c r="AZ208" s="35" t="s">
        <v>1069</v>
      </c>
      <c r="BA208" s="28" t="s">
        <v>1085</v>
      </c>
      <c r="BC208" s="34">
        <f>AW208+AX208</f>
        <v>0</v>
      </c>
      <c r="BD208" s="34">
        <f>H208/(100-BE208)*100</f>
        <v>0</v>
      </c>
      <c r="BE208" s="34">
        <v>0</v>
      </c>
      <c r="BF208" s="34">
        <f>208</f>
        <v>208</v>
      </c>
      <c r="BH208" s="18">
        <f>G208*AO208</f>
        <v>0</v>
      </c>
      <c r="BI208" s="18">
        <f>G208*AP208</f>
        <v>0</v>
      </c>
      <c r="BJ208" s="18">
        <f>G208*H208</f>
        <v>0</v>
      </c>
    </row>
    <row r="209" spans="3:7" ht="12.75">
      <c r="C209" s="101" t="s">
        <v>698</v>
      </c>
      <c r="D209" s="102"/>
      <c r="E209" s="102"/>
      <c r="G209" s="64">
        <v>10.8</v>
      </c>
    </row>
    <row r="210" spans="1:62" ht="12.75">
      <c r="A210" s="6" t="s">
        <v>89</v>
      </c>
      <c r="B210" s="6" t="s">
        <v>406</v>
      </c>
      <c r="C210" s="103" t="s">
        <v>699</v>
      </c>
      <c r="D210" s="104"/>
      <c r="E210" s="104"/>
      <c r="F210" s="6" t="s">
        <v>984</v>
      </c>
      <c r="G210" s="65">
        <v>11.405</v>
      </c>
      <c r="H210" s="19">
        <v>0</v>
      </c>
      <c r="I210" s="19">
        <f>G210*AO210</f>
        <v>0</v>
      </c>
      <c r="J210" s="19">
        <f>G210*AP210</f>
        <v>0</v>
      </c>
      <c r="K210" s="19">
        <f>G210*H210</f>
        <v>0</v>
      </c>
      <c r="L210" s="30"/>
      <c r="Z210" s="34">
        <f>IF(AQ210="5",BJ210,0)</f>
        <v>0</v>
      </c>
      <c r="AB210" s="34">
        <f>IF(AQ210="1",BH210,0)</f>
        <v>0</v>
      </c>
      <c r="AC210" s="34">
        <f>IF(AQ210="1",BI210,0)</f>
        <v>0</v>
      </c>
      <c r="AD210" s="34">
        <f>IF(AQ210="7",BH210,0)</f>
        <v>0</v>
      </c>
      <c r="AE210" s="34">
        <f>IF(AQ210="7",BI210,0)</f>
        <v>0</v>
      </c>
      <c r="AF210" s="34">
        <f>IF(AQ210="2",BH210,0)</f>
        <v>0</v>
      </c>
      <c r="AG210" s="34">
        <f>IF(AQ210="2",BI210,0)</f>
        <v>0</v>
      </c>
      <c r="AH210" s="34">
        <f>IF(AQ210="0",BJ210,0)</f>
        <v>0</v>
      </c>
      <c r="AI210" s="28" t="s">
        <v>1020</v>
      </c>
      <c r="AJ210" s="19">
        <f>IF(AN210=0,K210,0)</f>
        <v>0</v>
      </c>
      <c r="AK210" s="19">
        <f>IF(AN210=15,K210,0)</f>
        <v>0</v>
      </c>
      <c r="AL210" s="19">
        <f>IF(AN210=21,K210,0)</f>
        <v>0</v>
      </c>
      <c r="AN210" s="34">
        <v>21</v>
      </c>
      <c r="AO210" s="34">
        <f>H210*1</f>
        <v>0</v>
      </c>
      <c r="AP210" s="34">
        <f>H210*(1-1)</f>
        <v>0</v>
      </c>
      <c r="AQ210" s="30" t="s">
        <v>12</v>
      </c>
      <c r="AV210" s="34">
        <f>AW210+AX210</f>
        <v>0</v>
      </c>
      <c r="AW210" s="34">
        <f>G210*AO210</f>
        <v>0</v>
      </c>
      <c r="AX210" s="34">
        <f>G210*AP210</f>
        <v>0</v>
      </c>
      <c r="AY210" s="35" t="s">
        <v>1041</v>
      </c>
      <c r="AZ210" s="35" t="s">
        <v>1069</v>
      </c>
      <c r="BA210" s="28" t="s">
        <v>1085</v>
      </c>
      <c r="BC210" s="34">
        <f>AW210+AX210</f>
        <v>0</v>
      </c>
      <c r="BD210" s="34">
        <f>H210/(100-BE210)*100</f>
        <v>0</v>
      </c>
      <c r="BE210" s="34">
        <v>0</v>
      </c>
      <c r="BF210" s="34">
        <f>210</f>
        <v>210</v>
      </c>
      <c r="BH210" s="19">
        <f>G210*AO210</f>
        <v>0</v>
      </c>
      <c r="BI210" s="19">
        <f>G210*AP210</f>
        <v>0</v>
      </c>
      <c r="BJ210" s="19">
        <f>G210*H210</f>
        <v>0</v>
      </c>
    </row>
    <row r="211" spans="3:7" ht="12.75">
      <c r="C211" s="101" t="s">
        <v>703</v>
      </c>
      <c r="D211" s="102"/>
      <c r="E211" s="102"/>
      <c r="G211" s="64">
        <v>10.368</v>
      </c>
    </row>
    <row r="212" spans="3:7" ht="12.75">
      <c r="C212" s="101" t="s">
        <v>704</v>
      </c>
      <c r="D212" s="102"/>
      <c r="E212" s="102"/>
      <c r="G212" s="64">
        <v>1.037</v>
      </c>
    </row>
    <row r="213" spans="1:62" ht="12.75">
      <c r="A213" s="5" t="s">
        <v>90</v>
      </c>
      <c r="B213" s="5" t="s">
        <v>407</v>
      </c>
      <c r="C213" s="99" t="s">
        <v>705</v>
      </c>
      <c r="D213" s="100"/>
      <c r="E213" s="100"/>
      <c r="F213" s="5" t="s">
        <v>986</v>
      </c>
      <c r="G213" s="63">
        <v>23.85</v>
      </c>
      <c r="H213" s="18">
        <v>0</v>
      </c>
      <c r="I213" s="18">
        <f>G213*AO213</f>
        <v>0</v>
      </c>
      <c r="J213" s="18">
        <f>G213*AP213</f>
        <v>0</v>
      </c>
      <c r="K213" s="18">
        <f>G213*H213</f>
        <v>0</v>
      </c>
      <c r="L213" s="29"/>
      <c r="Z213" s="34">
        <f>IF(AQ213="5",BJ213,0)</f>
        <v>0</v>
      </c>
      <c r="AB213" s="34">
        <f>IF(AQ213="1",BH213,0)</f>
        <v>0</v>
      </c>
      <c r="AC213" s="34">
        <f>IF(AQ213="1",BI213,0)</f>
        <v>0</v>
      </c>
      <c r="AD213" s="34">
        <f>IF(AQ213="7",BH213,0)</f>
        <v>0</v>
      </c>
      <c r="AE213" s="34">
        <f>IF(AQ213="7",BI213,0)</f>
        <v>0</v>
      </c>
      <c r="AF213" s="34">
        <f>IF(AQ213="2",BH213,0)</f>
        <v>0</v>
      </c>
      <c r="AG213" s="34">
        <f>IF(AQ213="2",BI213,0)</f>
        <v>0</v>
      </c>
      <c r="AH213" s="34">
        <f>IF(AQ213="0",BJ213,0)</f>
        <v>0</v>
      </c>
      <c r="AI213" s="28" t="s">
        <v>1020</v>
      </c>
      <c r="AJ213" s="18">
        <f>IF(AN213=0,K213,0)</f>
        <v>0</v>
      </c>
      <c r="AK213" s="18">
        <f>IF(AN213=15,K213,0)</f>
        <v>0</v>
      </c>
      <c r="AL213" s="18">
        <f>IF(AN213=21,K213,0)</f>
        <v>0</v>
      </c>
      <c r="AN213" s="34">
        <v>21</v>
      </c>
      <c r="AO213" s="34">
        <f>H213*0</f>
        <v>0</v>
      </c>
      <c r="AP213" s="34">
        <f>H213*(1-0)</f>
        <v>0</v>
      </c>
      <c r="AQ213" s="29" t="s">
        <v>12</v>
      </c>
      <c r="AV213" s="34">
        <f>AW213+AX213</f>
        <v>0</v>
      </c>
      <c r="AW213" s="34">
        <f>G213*AO213</f>
        <v>0</v>
      </c>
      <c r="AX213" s="34">
        <f>G213*AP213</f>
        <v>0</v>
      </c>
      <c r="AY213" s="35" t="s">
        <v>1041</v>
      </c>
      <c r="AZ213" s="35" t="s">
        <v>1069</v>
      </c>
      <c r="BA213" s="28" t="s">
        <v>1085</v>
      </c>
      <c r="BC213" s="34">
        <f>AW213+AX213</f>
        <v>0</v>
      </c>
      <c r="BD213" s="34">
        <f>H213/(100-BE213)*100</f>
        <v>0</v>
      </c>
      <c r="BE213" s="34">
        <v>0</v>
      </c>
      <c r="BF213" s="34">
        <f>213</f>
        <v>213</v>
      </c>
      <c r="BH213" s="18">
        <f>G213*AO213</f>
        <v>0</v>
      </c>
      <c r="BI213" s="18">
        <f>G213*AP213</f>
        <v>0</v>
      </c>
      <c r="BJ213" s="18">
        <f>G213*H213</f>
        <v>0</v>
      </c>
    </row>
    <row r="214" spans="3:7" ht="12.75">
      <c r="C214" s="101" t="s">
        <v>706</v>
      </c>
      <c r="D214" s="102"/>
      <c r="E214" s="102"/>
      <c r="G214" s="64">
        <v>23.85</v>
      </c>
    </row>
    <row r="215" spans="1:62" ht="12.75">
      <c r="A215" s="5" t="s">
        <v>91</v>
      </c>
      <c r="B215" s="5" t="s">
        <v>408</v>
      </c>
      <c r="C215" s="99" t="s">
        <v>707</v>
      </c>
      <c r="D215" s="100"/>
      <c r="E215" s="100"/>
      <c r="F215" s="5" t="s">
        <v>986</v>
      </c>
      <c r="G215" s="63">
        <v>19.8</v>
      </c>
      <c r="H215" s="18">
        <v>0</v>
      </c>
      <c r="I215" s="18">
        <f>G215*AO215</f>
        <v>0</v>
      </c>
      <c r="J215" s="18">
        <f>G215*AP215</f>
        <v>0</v>
      </c>
      <c r="K215" s="18">
        <f>G215*H215</f>
        <v>0</v>
      </c>
      <c r="L215" s="29"/>
      <c r="Z215" s="34">
        <f>IF(AQ215="5",BJ215,0)</f>
        <v>0</v>
      </c>
      <c r="AB215" s="34">
        <f>IF(AQ215="1",BH215,0)</f>
        <v>0</v>
      </c>
      <c r="AC215" s="34">
        <f>IF(AQ215="1",BI215,0)</f>
        <v>0</v>
      </c>
      <c r="AD215" s="34">
        <f>IF(AQ215="7",BH215,0)</f>
        <v>0</v>
      </c>
      <c r="AE215" s="34">
        <f>IF(AQ215="7",BI215,0)</f>
        <v>0</v>
      </c>
      <c r="AF215" s="34">
        <f>IF(AQ215="2",BH215,0)</f>
        <v>0</v>
      </c>
      <c r="AG215" s="34">
        <f>IF(AQ215="2",BI215,0)</f>
        <v>0</v>
      </c>
      <c r="AH215" s="34">
        <f>IF(AQ215="0",BJ215,0)</f>
        <v>0</v>
      </c>
      <c r="AI215" s="28" t="s">
        <v>1020</v>
      </c>
      <c r="AJ215" s="18">
        <f>IF(AN215=0,K215,0)</f>
        <v>0</v>
      </c>
      <c r="AK215" s="18">
        <f>IF(AN215=15,K215,0)</f>
        <v>0</v>
      </c>
      <c r="AL215" s="18">
        <f>IF(AN215=21,K215,0)</f>
        <v>0</v>
      </c>
      <c r="AN215" s="34">
        <v>21</v>
      </c>
      <c r="AO215" s="34">
        <f>H215*0</f>
        <v>0</v>
      </c>
      <c r="AP215" s="34">
        <f>H215*(1-0)</f>
        <v>0</v>
      </c>
      <c r="AQ215" s="29" t="s">
        <v>12</v>
      </c>
      <c r="AV215" s="34">
        <f>AW215+AX215</f>
        <v>0</v>
      </c>
      <c r="AW215" s="34">
        <f>G215*AO215</f>
        <v>0</v>
      </c>
      <c r="AX215" s="34">
        <f>G215*AP215</f>
        <v>0</v>
      </c>
      <c r="AY215" s="35" t="s">
        <v>1041</v>
      </c>
      <c r="AZ215" s="35" t="s">
        <v>1069</v>
      </c>
      <c r="BA215" s="28" t="s">
        <v>1085</v>
      </c>
      <c r="BC215" s="34">
        <f>AW215+AX215</f>
        <v>0</v>
      </c>
      <c r="BD215" s="34">
        <f>H215/(100-BE215)*100</f>
        <v>0</v>
      </c>
      <c r="BE215" s="34">
        <v>0</v>
      </c>
      <c r="BF215" s="34">
        <f>215</f>
        <v>215</v>
      </c>
      <c r="BH215" s="18">
        <f>G215*AO215</f>
        <v>0</v>
      </c>
      <c r="BI215" s="18">
        <f>G215*AP215</f>
        <v>0</v>
      </c>
      <c r="BJ215" s="18">
        <f>G215*H215</f>
        <v>0</v>
      </c>
    </row>
    <row r="216" spans="3:7" ht="12.75">
      <c r="C216" s="101" t="s">
        <v>696</v>
      </c>
      <c r="D216" s="102"/>
      <c r="E216" s="102"/>
      <c r="G216" s="64">
        <v>19.8</v>
      </c>
    </row>
    <row r="217" spans="1:62" ht="12.75">
      <c r="A217" s="5" t="s">
        <v>92</v>
      </c>
      <c r="B217" s="5" t="s">
        <v>409</v>
      </c>
      <c r="C217" s="99" t="s">
        <v>708</v>
      </c>
      <c r="D217" s="100"/>
      <c r="E217" s="100"/>
      <c r="F217" s="5" t="s">
        <v>986</v>
      </c>
      <c r="G217" s="63">
        <v>21.6</v>
      </c>
      <c r="H217" s="18">
        <v>0</v>
      </c>
      <c r="I217" s="18">
        <f>G217*AO217</f>
        <v>0</v>
      </c>
      <c r="J217" s="18">
        <f>G217*AP217</f>
        <v>0</v>
      </c>
      <c r="K217" s="18">
        <f>G217*H217</f>
        <v>0</v>
      </c>
      <c r="L217" s="29"/>
      <c r="Z217" s="34">
        <f>IF(AQ217="5",BJ217,0)</f>
        <v>0</v>
      </c>
      <c r="AB217" s="34">
        <f>IF(AQ217="1",BH217,0)</f>
        <v>0</v>
      </c>
      <c r="AC217" s="34">
        <f>IF(AQ217="1",BI217,0)</f>
        <v>0</v>
      </c>
      <c r="AD217" s="34">
        <f>IF(AQ217="7",BH217,0)</f>
        <v>0</v>
      </c>
      <c r="AE217" s="34">
        <f>IF(AQ217="7",BI217,0)</f>
        <v>0</v>
      </c>
      <c r="AF217" s="34">
        <f>IF(AQ217="2",BH217,0)</f>
        <v>0</v>
      </c>
      <c r="AG217" s="34">
        <f>IF(AQ217="2",BI217,0)</f>
        <v>0</v>
      </c>
      <c r="AH217" s="34">
        <f>IF(AQ217="0",BJ217,0)</f>
        <v>0</v>
      </c>
      <c r="AI217" s="28" t="s">
        <v>1020</v>
      </c>
      <c r="AJ217" s="18">
        <f>IF(AN217=0,K217,0)</f>
        <v>0</v>
      </c>
      <c r="AK217" s="18">
        <f>IF(AN217=15,K217,0)</f>
        <v>0</v>
      </c>
      <c r="AL217" s="18">
        <f>IF(AN217=21,K217,0)</f>
        <v>0</v>
      </c>
      <c r="AN217" s="34">
        <v>21</v>
      </c>
      <c r="AO217" s="34">
        <f>H217*0</f>
        <v>0</v>
      </c>
      <c r="AP217" s="34">
        <f>H217*(1-0)</f>
        <v>0</v>
      </c>
      <c r="AQ217" s="29" t="s">
        <v>12</v>
      </c>
      <c r="AV217" s="34">
        <f>AW217+AX217</f>
        <v>0</v>
      </c>
      <c r="AW217" s="34">
        <f>G217*AO217</f>
        <v>0</v>
      </c>
      <c r="AX217" s="34">
        <f>G217*AP217</f>
        <v>0</v>
      </c>
      <c r="AY217" s="35" t="s">
        <v>1041</v>
      </c>
      <c r="AZ217" s="35" t="s">
        <v>1069</v>
      </c>
      <c r="BA217" s="28" t="s">
        <v>1085</v>
      </c>
      <c r="BC217" s="34">
        <f>AW217+AX217</f>
        <v>0</v>
      </c>
      <c r="BD217" s="34">
        <f>H217/(100-BE217)*100</f>
        <v>0</v>
      </c>
      <c r="BE217" s="34">
        <v>0</v>
      </c>
      <c r="BF217" s="34">
        <f>217</f>
        <v>217</v>
      </c>
      <c r="BH217" s="18">
        <f>G217*AO217</f>
        <v>0</v>
      </c>
      <c r="BI217" s="18">
        <f>G217*AP217</f>
        <v>0</v>
      </c>
      <c r="BJ217" s="18">
        <f>G217*H217</f>
        <v>0</v>
      </c>
    </row>
    <row r="218" spans="3:7" ht="12.75">
      <c r="C218" s="101" t="s">
        <v>709</v>
      </c>
      <c r="D218" s="102"/>
      <c r="E218" s="102"/>
      <c r="G218" s="64">
        <v>21.6</v>
      </c>
    </row>
    <row r="219" spans="1:62" ht="12.75">
      <c r="A219" s="5" t="s">
        <v>93</v>
      </c>
      <c r="B219" s="5" t="s">
        <v>410</v>
      </c>
      <c r="C219" s="99" t="s">
        <v>710</v>
      </c>
      <c r="D219" s="100"/>
      <c r="E219" s="100"/>
      <c r="F219" s="5" t="s">
        <v>987</v>
      </c>
      <c r="G219" s="63">
        <v>0.345</v>
      </c>
      <c r="H219" s="18">
        <v>0</v>
      </c>
      <c r="I219" s="18">
        <f>G219*AO219</f>
        <v>0</v>
      </c>
      <c r="J219" s="18">
        <f>G219*AP219</f>
        <v>0</v>
      </c>
      <c r="K219" s="18">
        <f>G219*H219</f>
        <v>0</v>
      </c>
      <c r="L219" s="29"/>
      <c r="Z219" s="34">
        <f>IF(AQ219="5",BJ219,0)</f>
        <v>0</v>
      </c>
      <c r="AB219" s="34">
        <f>IF(AQ219="1",BH219,0)</f>
        <v>0</v>
      </c>
      <c r="AC219" s="34">
        <f>IF(AQ219="1",BI219,0)</f>
        <v>0</v>
      </c>
      <c r="AD219" s="34">
        <f>IF(AQ219="7",BH219,0)</f>
        <v>0</v>
      </c>
      <c r="AE219" s="34">
        <f>IF(AQ219="7",BI219,0)</f>
        <v>0</v>
      </c>
      <c r="AF219" s="34">
        <f>IF(AQ219="2",BH219,0)</f>
        <v>0</v>
      </c>
      <c r="AG219" s="34">
        <f>IF(AQ219="2",BI219,0)</f>
        <v>0</v>
      </c>
      <c r="AH219" s="34">
        <f>IF(AQ219="0",BJ219,0)</f>
        <v>0</v>
      </c>
      <c r="AI219" s="28" t="s">
        <v>1020</v>
      </c>
      <c r="AJ219" s="18">
        <f>IF(AN219=0,K219,0)</f>
        <v>0</v>
      </c>
      <c r="AK219" s="18">
        <f>IF(AN219=15,K219,0)</f>
        <v>0</v>
      </c>
      <c r="AL219" s="18">
        <f>IF(AN219=21,K219,0)</f>
        <v>0</v>
      </c>
      <c r="AN219" s="34">
        <v>21</v>
      </c>
      <c r="AO219" s="34">
        <f>H219*0</f>
        <v>0</v>
      </c>
      <c r="AP219" s="34">
        <f>H219*(1-0)</f>
        <v>0</v>
      </c>
      <c r="AQ219" s="29" t="s">
        <v>10</v>
      </c>
      <c r="AV219" s="34">
        <f>AW219+AX219</f>
        <v>0</v>
      </c>
      <c r="AW219" s="34">
        <f>G219*AO219</f>
        <v>0</v>
      </c>
      <c r="AX219" s="34">
        <f>G219*AP219</f>
        <v>0</v>
      </c>
      <c r="AY219" s="35" t="s">
        <v>1041</v>
      </c>
      <c r="AZ219" s="35" t="s">
        <v>1069</v>
      </c>
      <c r="BA219" s="28" t="s">
        <v>1085</v>
      </c>
      <c r="BC219" s="34">
        <f>AW219+AX219</f>
        <v>0</v>
      </c>
      <c r="BD219" s="34">
        <f>H219/(100-BE219)*100</f>
        <v>0</v>
      </c>
      <c r="BE219" s="34">
        <v>0</v>
      </c>
      <c r="BF219" s="34">
        <f>219</f>
        <v>219</v>
      </c>
      <c r="BH219" s="18">
        <f>G219*AO219</f>
        <v>0</v>
      </c>
      <c r="BI219" s="18">
        <f>G219*AP219</f>
        <v>0</v>
      </c>
      <c r="BJ219" s="18">
        <f>G219*H219</f>
        <v>0</v>
      </c>
    </row>
    <row r="220" spans="3:7" ht="12.75">
      <c r="C220" s="101" t="s">
        <v>711</v>
      </c>
      <c r="D220" s="102"/>
      <c r="E220" s="102"/>
      <c r="G220" s="64">
        <v>0.345</v>
      </c>
    </row>
    <row r="221" spans="1:47" ht="12.75">
      <c r="A221" s="4"/>
      <c r="B221" s="14" t="s">
        <v>411</v>
      </c>
      <c r="C221" s="97" t="s">
        <v>712</v>
      </c>
      <c r="D221" s="98"/>
      <c r="E221" s="98"/>
      <c r="F221" s="4" t="s">
        <v>5</v>
      </c>
      <c r="G221" s="4" t="s">
        <v>5</v>
      </c>
      <c r="H221" s="4" t="s">
        <v>5</v>
      </c>
      <c r="I221" s="37">
        <f>SUM(I222:I226)</f>
        <v>0</v>
      </c>
      <c r="J221" s="37">
        <f>SUM(J222:J226)</f>
        <v>0</v>
      </c>
      <c r="K221" s="37">
        <f>SUM(K222:K226)</f>
        <v>0</v>
      </c>
      <c r="L221" s="28"/>
      <c r="AI221" s="28" t="s">
        <v>1020</v>
      </c>
      <c r="AS221" s="37">
        <f>SUM(AJ222:AJ226)</f>
        <v>0</v>
      </c>
      <c r="AT221" s="37">
        <f>SUM(AK222:AK226)</f>
        <v>0</v>
      </c>
      <c r="AU221" s="37">
        <f>SUM(AL222:AL226)</f>
        <v>0</v>
      </c>
    </row>
    <row r="222" spans="1:62" ht="12.75">
      <c r="A222" s="5" t="s">
        <v>94</v>
      </c>
      <c r="B222" s="5" t="s">
        <v>412</v>
      </c>
      <c r="C222" s="99" t="s">
        <v>713</v>
      </c>
      <c r="D222" s="100"/>
      <c r="E222" s="100"/>
      <c r="F222" s="5" t="s">
        <v>988</v>
      </c>
      <c r="G222" s="63">
        <v>1</v>
      </c>
      <c r="H222" s="18">
        <v>0</v>
      </c>
      <c r="I222" s="18">
        <f>G222*AO222</f>
        <v>0</v>
      </c>
      <c r="J222" s="18">
        <f>G222*AP222</f>
        <v>0</v>
      </c>
      <c r="K222" s="18">
        <f>G222*H222</f>
        <v>0</v>
      </c>
      <c r="L222" s="29"/>
      <c r="Z222" s="34">
        <f>IF(AQ222="5",BJ222,0)</f>
        <v>0</v>
      </c>
      <c r="AB222" s="34">
        <f>IF(AQ222="1",BH222,0)</f>
        <v>0</v>
      </c>
      <c r="AC222" s="34">
        <f>IF(AQ222="1",BI222,0)</f>
        <v>0</v>
      </c>
      <c r="AD222" s="34">
        <f>IF(AQ222="7",BH222,0)</f>
        <v>0</v>
      </c>
      <c r="AE222" s="34">
        <f>IF(AQ222="7",BI222,0)</f>
        <v>0</v>
      </c>
      <c r="AF222" s="34">
        <f>IF(AQ222="2",BH222,0)</f>
        <v>0</v>
      </c>
      <c r="AG222" s="34">
        <f>IF(AQ222="2",BI222,0)</f>
        <v>0</v>
      </c>
      <c r="AH222" s="34">
        <f>IF(AQ222="0",BJ222,0)</f>
        <v>0</v>
      </c>
      <c r="AI222" s="28" t="s">
        <v>1020</v>
      </c>
      <c r="AJ222" s="18">
        <f>IF(AN222=0,K222,0)</f>
        <v>0</v>
      </c>
      <c r="AK222" s="18">
        <f>IF(AN222=15,K222,0)</f>
        <v>0</v>
      </c>
      <c r="AL222" s="18">
        <f>IF(AN222=21,K222,0)</f>
        <v>0</v>
      </c>
      <c r="AN222" s="34">
        <v>21</v>
      </c>
      <c r="AO222" s="34">
        <f>H222*0.017358608081845</f>
        <v>0</v>
      </c>
      <c r="AP222" s="34">
        <f>H222*(1-0.017358608081845)</f>
        <v>0</v>
      </c>
      <c r="AQ222" s="29" t="s">
        <v>12</v>
      </c>
      <c r="AV222" s="34">
        <f>AW222+AX222</f>
        <v>0</v>
      </c>
      <c r="AW222" s="34">
        <f>G222*AO222</f>
        <v>0</v>
      </c>
      <c r="AX222" s="34">
        <f>G222*AP222</f>
        <v>0</v>
      </c>
      <c r="AY222" s="35" t="s">
        <v>1042</v>
      </c>
      <c r="AZ222" s="35" t="s">
        <v>1069</v>
      </c>
      <c r="BA222" s="28" t="s">
        <v>1085</v>
      </c>
      <c r="BC222" s="34">
        <f>AW222+AX222</f>
        <v>0</v>
      </c>
      <c r="BD222" s="34">
        <f>H222/(100-BE222)*100</f>
        <v>0</v>
      </c>
      <c r="BE222" s="34">
        <v>0</v>
      </c>
      <c r="BF222" s="34">
        <f>222</f>
        <v>222</v>
      </c>
      <c r="BH222" s="18">
        <f>G222*AO222</f>
        <v>0</v>
      </c>
      <c r="BI222" s="18">
        <f>G222*AP222</f>
        <v>0</v>
      </c>
      <c r="BJ222" s="18">
        <f>G222*H222</f>
        <v>0</v>
      </c>
    </row>
    <row r="223" spans="3:7" ht="12.75">
      <c r="C223" s="101" t="s">
        <v>6</v>
      </c>
      <c r="D223" s="102"/>
      <c r="E223" s="102"/>
      <c r="G223" s="64">
        <v>1</v>
      </c>
    </row>
    <row r="224" spans="1:62" ht="12.75">
      <c r="A224" s="6" t="s">
        <v>95</v>
      </c>
      <c r="B224" s="6" t="s">
        <v>413</v>
      </c>
      <c r="C224" s="103" t="s">
        <v>714</v>
      </c>
      <c r="D224" s="104"/>
      <c r="E224" s="104"/>
      <c r="F224" s="6" t="s">
        <v>988</v>
      </c>
      <c r="G224" s="65">
        <v>1</v>
      </c>
      <c r="H224" s="19">
        <v>0</v>
      </c>
      <c r="I224" s="19">
        <f>G224*AO224</f>
        <v>0</v>
      </c>
      <c r="J224" s="19">
        <f>G224*AP224</f>
        <v>0</v>
      </c>
      <c r="K224" s="19">
        <f>G224*H224</f>
        <v>0</v>
      </c>
      <c r="L224" s="30"/>
      <c r="Z224" s="34">
        <f>IF(AQ224="5",BJ224,0)</f>
        <v>0</v>
      </c>
      <c r="AB224" s="34">
        <f>IF(AQ224="1",BH224,0)</f>
        <v>0</v>
      </c>
      <c r="AC224" s="34">
        <f>IF(AQ224="1",BI224,0)</f>
        <v>0</v>
      </c>
      <c r="AD224" s="34">
        <f>IF(AQ224="7",BH224,0)</f>
        <v>0</v>
      </c>
      <c r="AE224" s="34">
        <f>IF(AQ224="7",BI224,0)</f>
        <v>0</v>
      </c>
      <c r="AF224" s="34">
        <f>IF(AQ224="2",BH224,0)</f>
        <v>0</v>
      </c>
      <c r="AG224" s="34">
        <f>IF(AQ224="2",BI224,0)</f>
        <v>0</v>
      </c>
      <c r="AH224" s="34">
        <f>IF(AQ224="0",BJ224,0)</f>
        <v>0</v>
      </c>
      <c r="AI224" s="28" t="s">
        <v>1020</v>
      </c>
      <c r="AJ224" s="19">
        <f>IF(AN224=0,K224,0)</f>
        <v>0</v>
      </c>
      <c r="AK224" s="19">
        <f>IF(AN224=15,K224,0)</f>
        <v>0</v>
      </c>
      <c r="AL224" s="19">
        <f>IF(AN224=21,K224,0)</f>
        <v>0</v>
      </c>
      <c r="AN224" s="34">
        <v>21</v>
      </c>
      <c r="AO224" s="34">
        <f>H224*1</f>
        <v>0</v>
      </c>
      <c r="AP224" s="34">
        <f>H224*(1-1)</f>
        <v>0</v>
      </c>
      <c r="AQ224" s="30" t="s">
        <v>12</v>
      </c>
      <c r="AV224" s="34">
        <f>AW224+AX224</f>
        <v>0</v>
      </c>
      <c r="AW224" s="34">
        <f>G224*AO224</f>
        <v>0</v>
      </c>
      <c r="AX224" s="34">
        <f>G224*AP224</f>
        <v>0</v>
      </c>
      <c r="AY224" s="35" t="s">
        <v>1042</v>
      </c>
      <c r="AZ224" s="35" t="s">
        <v>1069</v>
      </c>
      <c r="BA224" s="28" t="s">
        <v>1085</v>
      </c>
      <c r="BC224" s="34">
        <f>AW224+AX224</f>
        <v>0</v>
      </c>
      <c r="BD224" s="34">
        <f>H224/(100-BE224)*100</f>
        <v>0</v>
      </c>
      <c r="BE224" s="34">
        <v>0</v>
      </c>
      <c r="BF224" s="34">
        <f>224</f>
        <v>224</v>
      </c>
      <c r="BH224" s="19">
        <f>G224*AO224</f>
        <v>0</v>
      </c>
      <c r="BI224" s="19">
        <f>G224*AP224</f>
        <v>0</v>
      </c>
      <c r="BJ224" s="19">
        <f>G224*H224</f>
        <v>0</v>
      </c>
    </row>
    <row r="225" spans="3:7" ht="12.75">
      <c r="C225" s="101" t="s">
        <v>6</v>
      </c>
      <c r="D225" s="102"/>
      <c r="E225" s="102"/>
      <c r="G225" s="64">
        <v>1</v>
      </c>
    </row>
    <row r="226" spans="1:62" ht="12.75">
      <c r="A226" s="5" t="s">
        <v>96</v>
      </c>
      <c r="B226" s="5" t="s">
        <v>414</v>
      </c>
      <c r="C226" s="99" t="s">
        <v>715</v>
      </c>
      <c r="D226" s="100"/>
      <c r="E226" s="100"/>
      <c r="F226" s="5" t="s">
        <v>987</v>
      </c>
      <c r="G226" s="63">
        <v>0.035</v>
      </c>
      <c r="H226" s="18">
        <v>0</v>
      </c>
      <c r="I226" s="18">
        <f>G226*AO226</f>
        <v>0</v>
      </c>
      <c r="J226" s="18">
        <f>G226*AP226</f>
        <v>0</v>
      </c>
      <c r="K226" s="18">
        <f>G226*H226</f>
        <v>0</v>
      </c>
      <c r="L226" s="29"/>
      <c r="Z226" s="34">
        <f>IF(AQ226="5",BJ226,0)</f>
        <v>0</v>
      </c>
      <c r="AB226" s="34">
        <f>IF(AQ226="1",BH226,0)</f>
        <v>0</v>
      </c>
      <c r="AC226" s="34">
        <f>IF(AQ226="1",BI226,0)</f>
        <v>0</v>
      </c>
      <c r="AD226" s="34">
        <f>IF(AQ226="7",BH226,0)</f>
        <v>0</v>
      </c>
      <c r="AE226" s="34">
        <f>IF(AQ226="7",BI226,0)</f>
        <v>0</v>
      </c>
      <c r="AF226" s="34">
        <f>IF(AQ226="2",BH226,0)</f>
        <v>0</v>
      </c>
      <c r="AG226" s="34">
        <f>IF(AQ226="2",BI226,0)</f>
        <v>0</v>
      </c>
      <c r="AH226" s="34">
        <f>IF(AQ226="0",BJ226,0)</f>
        <v>0</v>
      </c>
      <c r="AI226" s="28" t="s">
        <v>1020</v>
      </c>
      <c r="AJ226" s="18">
        <f>IF(AN226=0,K226,0)</f>
        <v>0</v>
      </c>
      <c r="AK226" s="18">
        <f>IF(AN226=15,K226,0)</f>
        <v>0</v>
      </c>
      <c r="AL226" s="18">
        <f>IF(AN226=21,K226,0)</f>
        <v>0</v>
      </c>
      <c r="AN226" s="34">
        <v>21</v>
      </c>
      <c r="AO226" s="34">
        <f>H226*0</f>
        <v>0</v>
      </c>
      <c r="AP226" s="34">
        <f>H226*(1-0)</f>
        <v>0</v>
      </c>
      <c r="AQ226" s="29" t="s">
        <v>10</v>
      </c>
      <c r="AV226" s="34">
        <f>AW226+AX226</f>
        <v>0</v>
      </c>
      <c r="AW226" s="34">
        <f>G226*AO226</f>
        <v>0</v>
      </c>
      <c r="AX226" s="34">
        <f>G226*AP226</f>
        <v>0</v>
      </c>
      <c r="AY226" s="35" t="s">
        <v>1042</v>
      </c>
      <c r="AZ226" s="35" t="s">
        <v>1069</v>
      </c>
      <c r="BA226" s="28" t="s">
        <v>1085</v>
      </c>
      <c r="BC226" s="34">
        <f>AW226+AX226</f>
        <v>0</v>
      </c>
      <c r="BD226" s="34">
        <f>H226/(100-BE226)*100</f>
        <v>0</v>
      </c>
      <c r="BE226" s="34">
        <v>0</v>
      </c>
      <c r="BF226" s="34">
        <f>226</f>
        <v>226</v>
      </c>
      <c r="BH226" s="18">
        <f>G226*AO226</f>
        <v>0</v>
      </c>
      <c r="BI226" s="18">
        <f>G226*AP226</f>
        <v>0</v>
      </c>
      <c r="BJ226" s="18">
        <f>G226*H226</f>
        <v>0</v>
      </c>
    </row>
    <row r="227" spans="3:7" ht="12.75">
      <c r="C227" s="101" t="s">
        <v>716</v>
      </c>
      <c r="D227" s="102"/>
      <c r="E227" s="102"/>
      <c r="G227" s="64">
        <v>0.035</v>
      </c>
    </row>
    <row r="228" spans="1:47" ht="12.75">
      <c r="A228" s="4"/>
      <c r="B228" s="14" t="s">
        <v>95</v>
      </c>
      <c r="C228" s="97" t="s">
        <v>717</v>
      </c>
      <c r="D228" s="98"/>
      <c r="E228" s="98"/>
      <c r="F228" s="4" t="s">
        <v>5</v>
      </c>
      <c r="G228" s="4" t="s">
        <v>5</v>
      </c>
      <c r="H228" s="4" t="s">
        <v>5</v>
      </c>
      <c r="I228" s="37">
        <f>SUM(I229:I229)</f>
        <v>0</v>
      </c>
      <c r="J228" s="37">
        <f>SUM(J229:J229)</f>
        <v>0</v>
      </c>
      <c r="K228" s="37">
        <f>SUM(K229:K229)</f>
        <v>0</v>
      </c>
      <c r="L228" s="28"/>
      <c r="AI228" s="28" t="s">
        <v>1020</v>
      </c>
      <c r="AS228" s="37">
        <f>SUM(AJ229:AJ229)</f>
        <v>0</v>
      </c>
      <c r="AT228" s="37">
        <f>SUM(AK229:AK229)</f>
        <v>0</v>
      </c>
      <c r="AU228" s="37">
        <f>SUM(AL229:AL229)</f>
        <v>0</v>
      </c>
    </row>
    <row r="229" spans="1:62" ht="12.75">
      <c r="A229" s="5" t="s">
        <v>97</v>
      </c>
      <c r="B229" s="5" t="s">
        <v>415</v>
      </c>
      <c r="C229" s="99" t="s">
        <v>718</v>
      </c>
      <c r="D229" s="100"/>
      <c r="E229" s="100"/>
      <c r="F229" s="5" t="s">
        <v>989</v>
      </c>
      <c r="G229" s="63">
        <v>8</v>
      </c>
      <c r="H229" s="18">
        <v>0</v>
      </c>
      <c r="I229" s="18">
        <f>G229*AO229</f>
        <v>0</v>
      </c>
      <c r="J229" s="18">
        <f>G229*AP229</f>
        <v>0</v>
      </c>
      <c r="K229" s="18">
        <f>G229*H229</f>
        <v>0</v>
      </c>
      <c r="L229" s="29"/>
      <c r="Z229" s="34">
        <f>IF(AQ229="5",BJ229,0)</f>
        <v>0</v>
      </c>
      <c r="AB229" s="34">
        <f>IF(AQ229="1",BH229,0)</f>
        <v>0</v>
      </c>
      <c r="AC229" s="34">
        <f>IF(AQ229="1",BI229,0)</f>
        <v>0</v>
      </c>
      <c r="AD229" s="34">
        <f>IF(AQ229="7",BH229,0)</f>
        <v>0</v>
      </c>
      <c r="AE229" s="34">
        <f>IF(AQ229="7",BI229,0)</f>
        <v>0</v>
      </c>
      <c r="AF229" s="34">
        <f>IF(AQ229="2",BH229,0)</f>
        <v>0</v>
      </c>
      <c r="AG229" s="34">
        <f>IF(AQ229="2",BI229,0)</f>
        <v>0</v>
      </c>
      <c r="AH229" s="34">
        <f>IF(AQ229="0",BJ229,0)</f>
        <v>0</v>
      </c>
      <c r="AI229" s="28" t="s">
        <v>1020</v>
      </c>
      <c r="AJ229" s="18">
        <f>IF(AN229=0,K229,0)</f>
        <v>0</v>
      </c>
      <c r="AK229" s="18">
        <f>IF(AN229=15,K229,0)</f>
        <v>0</v>
      </c>
      <c r="AL229" s="18">
        <f>IF(AN229=21,K229,0)</f>
        <v>0</v>
      </c>
      <c r="AN229" s="34">
        <v>21</v>
      </c>
      <c r="AO229" s="34">
        <f>H229*0</f>
        <v>0</v>
      </c>
      <c r="AP229" s="34">
        <f>H229*(1-0)</f>
        <v>0</v>
      </c>
      <c r="AQ229" s="29" t="s">
        <v>6</v>
      </c>
      <c r="AV229" s="34">
        <f>AW229+AX229</f>
        <v>0</v>
      </c>
      <c r="AW229" s="34">
        <f>G229*AO229</f>
        <v>0</v>
      </c>
      <c r="AX229" s="34">
        <f>G229*AP229</f>
        <v>0</v>
      </c>
      <c r="AY229" s="35" t="s">
        <v>1043</v>
      </c>
      <c r="AZ229" s="35" t="s">
        <v>1070</v>
      </c>
      <c r="BA229" s="28" t="s">
        <v>1085</v>
      </c>
      <c r="BC229" s="34">
        <f>AW229+AX229</f>
        <v>0</v>
      </c>
      <c r="BD229" s="34">
        <f>H229/(100-BE229)*100</f>
        <v>0</v>
      </c>
      <c r="BE229" s="34">
        <v>0</v>
      </c>
      <c r="BF229" s="34">
        <f>229</f>
        <v>229</v>
      </c>
      <c r="BH229" s="18">
        <f>G229*AO229</f>
        <v>0</v>
      </c>
      <c r="BI229" s="18">
        <f>G229*AP229</f>
        <v>0</v>
      </c>
      <c r="BJ229" s="18">
        <f>G229*H229</f>
        <v>0</v>
      </c>
    </row>
    <row r="230" spans="3:7" ht="12.75">
      <c r="C230" s="101" t="s">
        <v>13</v>
      </c>
      <c r="D230" s="102"/>
      <c r="E230" s="102"/>
      <c r="G230" s="64">
        <v>8</v>
      </c>
    </row>
    <row r="231" spans="1:47" ht="12.75">
      <c r="A231" s="4"/>
      <c r="B231" s="14" t="s">
        <v>96</v>
      </c>
      <c r="C231" s="97" t="s">
        <v>719</v>
      </c>
      <c r="D231" s="98"/>
      <c r="E231" s="98"/>
      <c r="F231" s="4" t="s">
        <v>5</v>
      </c>
      <c r="G231" s="4" t="s">
        <v>5</v>
      </c>
      <c r="H231" s="4" t="s">
        <v>5</v>
      </c>
      <c r="I231" s="37">
        <f>SUM(I232:I232)</f>
        <v>0</v>
      </c>
      <c r="J231" s="37">
        <f>SUM(J232:J232)</f>
        <v>0</v>
      </c>
      <c r="K231" s="37">
        <f>SUM(K232:K232)</f>
        <v>0</v>
      </c>
      <c r="L231" s="28"/>
      <c r="AI231" s="28" t="s">
        <v>1020</v>
      </c>
      <c r="AS231" s="37">
        <f>SUM(AJ232:AJ232)</f>
        <v>0</v>
      </c>
      <c r="AT231" s="37">
        <f>SUM(AK232:AK232)</f>
        <v>0</v>
      </c>
      <c r="AU231" s="37">
        <f>SUM(AL232:AL232)</f>
        <v>0</v>
      </c>
    </row>
    <row r="232" spans="1:62" ht="12.75">
      <c r="A232" s="5" t="s">
        <v>98</v>
      </c>
      <c r="B232" s="5" t="s">
        <v>416</v>
      </c>
      <c r="C232" s="99" t="s">
        <v>720</v>
      </c>
      <c r="D232" s="100"/>
      <c r="E232" s="100"/>
      <c r="F232" s="5" t="s">
        <v>986</v>
      </c>
      <c r="G232" s="63">
        <v>19.3</v>
      </c>
      <c r="H232" s="18">
        <v>0</v>
      </c>
      <c r="I232" s="18">
        <f>G232*AO232</f>
        <v>0</v>
      </c>
      <c r="J232" s="18">
        <f>G232*AP232</f>
        <v>0</v>
      </c>
      <c r="K232" s="18">
        <f>G232*H232</f>
        <v>0</v>
      </c>
      <c r="L232" s="29"/>
      <c r="Z232" s="34">
        <f>IF(AQ232="5",BJ232,0)</f>
        <v>0</v>
      </c>
      <c r="AB232" s="34">
        <f>IF(AQ232="1",BH232,0)</f>
        <v>0</v>
      </c>
      <c r="AC232" s="34">
        <f>IF(AQ232="1",BI232,0)</f>
        <v>0</v>
      </c>
      <c r="AD232" s="34">
        <f>IF(AQ232="7",BH232,0)</f>
        <v>0</v>
      </c>
      <c r="AE232" s="34">
        <f>IF(AQ232="7",BI232,0)</f>
        <v>0</v>
      </c>
      <c r="AF232" s="34">
        <f>IF(AQ232="2",BH232,0)</f>
        <v>0</v>
      </c>
      <c r="AG232" s="34">
        <f>IF(AQ232="2",BI232,0)</f>
        <v>0</v>
      </c>
      <c r="AH232" s="34">
        <f>IF(AQ232="0",BJ232,0)</f>
        <v>0</v>
      </c>
      <c r="AI232" s="28" t="s">
        <v>1020</v>
      </c>
      <c r="AJ232" s="18">
        <f>IF(AN232=0,K232,0)</f>
        <v>0</v>
      </c>
      <c r="AK232" s="18">
        <f>IF(AN232=15,K232,0)</f>
        <v>0</v>
      </c>
      <c r="AL232" s="18">
        <f>IF(AN232=21,K232,0)</f>
        <v>0</v>
      </c>
      <c r="AN232" s="34">
        <v>21</v>
      </c>
      <c r="AO232" s="34">
        <f>H232*0.672472222222222</f>
        <v>0</v>
      </c>
      <c r="AP232" s="34">
        <f>H232*(1-0.672472222222222)</f>
        <v>0</v>
      </c>
      <c r="AQ232" s="29" t="s">
        <v>6</v>
      </c>
      <c r="AV232" s="34">
        <f>AW232+AX232</f>
        <v>0</v>
      </c>
      <c r="AW232" s="34">
        <f>G232*AO232</f>
        <v>0</v>
      </c>
      <c r="AX232" s="34">
        <f>G232*AP232</f>
        <v>0</v>
      </c>
      <c r="AY232" s="35" t="s">
        <v>1044</v>
      </c>
      <c r="AZ232" s="35" t="s">
        <v>1070</v>
      </c>
      <c r="BA232" s="28" t="s">
        <v>1085</v>
      </c>
      <c r="BC232" s="34">
        <f>AW232+AX232</f>
        <v>0</v>
      </c>
      <c r="BD232" s="34">
        <f>H232/(100-BE232)*100</f>
        <v>0</v>
      </c>
      <c r="BE232" s="34">
        <v>0</v>
      </c>
      <c r="BF232" s="34">
        <f>232</f>
        <v>232</v>
      </c>
      <c r="BH232" s="18">
        <f>G232*AO232</f>
        <v>0</v>
      </c>
      <c r="BI232" s="18">
        <f>G232*AP232</f>
        <v>0</v>
      </c>
      <c r="BJ232" s="18">
        <f>G232*H232</f>
        <v>0</v>
      </c>
    </row>
    <row r="233" spans="3:7" ht="12.75">
      <c r="C233" s="101" t="s">
        <v>721</v>
      </c>
      <c r="D233" s="102"/>
      <c r="E233" s="102"/>
      <c r="G233" s="64">
        <v>19.3</v>
      </c>
    </row>
    <row r="234" spans="1:47" ht="12.75">
      <c r="A234" s="4"/>
      <c r="B234" s="14" t="s">
        <v>99</v>
      </c>
      <c r="C234" s="97" t="s">
        <v>722</v>
      </c>
      <c r="D234" s="98"/>
      <c r="E234" s="98"/>
      <c r="F234" s="4" t="s">
        <v>5</v>
      </c>
      <c r="G234" s="4" t="s">
        <v>5</v>
      </c>
      <c r="H234" s="4" t="s">
        <v>5</v>
      </c>
      <c r="I234" s="37">
        <f>SUM(I235:I247)</f>
        <v>0</v>
      </c>
      <c r="J234" s="37">
        <f>SUM(J235:J247)</f>
        <v>0</v>
      </c>
      <c r="K234" s="37">
        <f>SUM(K235:K247)</f>
        <v>0</v>
      </c>
      <c r="L234" s="28"/>
      <c r="AI234" s="28" t="s">
        <v>1020</v>
      </c>
      <c r="AS234" s="37">
        <f>SUM(AJ235:AJ247)</f>
        <v>0</v>
      </c>
      <c r="AT234" s="37">
        <f>SUM(AK235:AK247)</f>
        <v>0</v>
      </c>
      <c r="AU234" s="37">
        <f>SUM(AL235:AL247)</f>
        <v>0</v>
      </c>
    </row>
    <row r="235" spans="1:62" ht="12.75">
      <c r="A235" s="5" t="s">
        <v>99</v>
      </c>
      <c r="B235" s="5" t="s">
        <v>417</v>
      </c>
      <c r="C235" s="99" t="s">
        <v>723</v>
      </c>
      <c r="D235" s="100"/>
      <c r="E235" s="100"/>
      <c r="F235" s="5" t="s">
        <v>984</v>
      </c>
      <c r="G235" s="63">
        <v>287.5</v>
      </c>
      <c r="H235" s="18">
        <v>0</v>
      </c>
      <c r="I235" s="18">
        <f>G235*AO235</f>
        <v>0</v>
      </c>
      <c r="J235" s="18">
        <f>G235*AP235</f>
        <v>0</v>
      </c>
      <c r="K235" s="18">
        <f>G235*H235</f>
        <v>0</v>
      </c>
      <c r="L235" s="29"/>
      <c r="Z235" s="34">
        <f>IF(AQ235="5",BJ235,0)</f>
        <v>0</v>
      </c>
      <c r="AB235" s="34">
        <f>IF(AQ235="1",BH235,0)</f>
        <v>0</v>
      </c>
      <c r="AC235" s="34">
        <f>IF(AQ235="1",BI235,0)</f>
        <v>0</v>
      </c>
      <c r="AD235" s="34">
        <f>IF(AQ235="7",BH235,0)</f>
        <v>0</v>
      </c>
      <c r="AE235" s="34">
        <f>IF(AQ235="7",BI235,0)</f>
        <v>0</v>
      </c>
      <c r="AF235" s="34">
        <f>IF(AQ235="2",BH235,0)</f>
        <v>0</v>
      </c>
      <c r="AG235" s="34">
        <f>IF(AQ235="2",BI235,0)</f>
        <v>0</v>
      </c>
      <c r="AH235" s="34">
        <f>IF(AQ235="0",BJ235,0)</f>
        <v>0</v>
      </c>
      <c r="AI235" s="28" t="s">
        <v>1020</v>
      </c>
      <c r="AJ235" s="18">
        <f>IF(AN235=0,K235,0)</f>
        <v>0</v>
      </c>
      <c r="AK235" s="18">
        <f>IF(AN235=15,K235,0)</f>
        <v>0</v>
      </c>
      <c r="AL235" s="18">
        <f>IF(AN235=21,K235,0)</f>
        <v>0</v>
      </c>
      <c r="AN235" s="34">
        <v>21</v>
      </c>
      <c r="AO235" s="34">
        <f>H235*0.000511945392491468</f>
        <v>0</v>
      </c>
      <c r="AP235" s="34">
        <f>H235*(1-0.000511945392491468)</f>
        <v>0</v>
      </c>
      <c r="AQ235" s="29" t="s">
        <v>6</v>
      </c>
      <c r="AV235" s="34">
        <f>AW235+AX235</f>
        <v>0</v>
      </c>
      <c r="AW235" s="34">
        <f>G235*AO235</f>
        <v>0</v>
      </c>
      <c r="AX235" s="34">
        <f>G235*AP235</f>
        <v>0</v>
      </c>
      <c r="AY235" s="35" t="s">
        <v>1045</v>
      </c>
      <c r="AZ235" s="35" t="s">
        <v>1070</v>
      </c>
      <c r="BA235" s="28" t="s">
        <v>1085</v>
      </c>
      <c r="BC235" s="34">
        <f>AW235+AX235</f>
        <v>0</v>
      </c>
      <c r="BD235" s="34">
        <f>H235/(100-BE235)*100</f>
        <v>0</v>
      </c>
      <c r="BE235" s="34">
        <v>0</v>
      </c>
      <c r="BF235" s="34">
        <f>235</f>
        <v>235</v>
      </c>
      <c r="BH235" s="18">
        <f>G235*AO235</f>
        <v>0</v>
      </c>
      <c r="BI235" s="18">
        <f>G235*AP235</f>
        <v>0</v>
      </c>
      <c r="BJ235" s="18">
        <f>G235*H235</f>
        <v>0</v>
      </c>
    </row>
    <row r="236" spans="3:7" ht="12.75">
      <c r="C236" s="101" t="s">
        <v>724</v>
      </c>
      <c r="D236" s="102"/>
      <c r="E236" s="102"/>
      <c r="G236" s="64">
        <v>287.5</v>
      </c>
    </row>
    <row r="237" spans="1:62" ht="12.75">
      <c r="A237" s="5" t="s">
        <v>100</v>
      </c>
      <c r="B237" s="5" t="s">
        <v>418</v>
      </c>
      <c r="C237" s="99" t="s">
        <v>725</v>
      </c>
      <c r="D237" s="100"/>
      <c r="E237" s="100"/>
      <c r="F237" s="5" t="s">
        <v>984</v>
      </c>
      <c r="G237" s="63">
        <v>575</v>
      </c>
      <c r="H237" s="18">
        <v>0</v>
      </c>
      <c r="I237" s="18">
        <f>G237*AO237</f>
        <v>0</v>
      </c>
      <c r="J237" s="18">
        <f>G237*AP237</f>
        <v>0</v>
      </c>
      <c r="K237" s="18">
        <f>G237*H237</f>
        <v>0</v>
      </c>
      <c r="L237" s="29"/>
      <c r="Z237" s="34">
        <f>IF(AQ237="5",BJ237,0)</f>
        <v>0</v>
      </c>
      <c r="AB237" s="34">
        <f>IF(AQ237="1",BH237,0)</f>
        <v>0</v>
      </c>
      <c r="AC237" s="34">
        <f>IF(AQ237="1",BI237,0)</f>
        <v>0</v>
      </c>
      <c r="AD237" s="34">
        <f>IF(AQ237="7",BH237,0)</f>
        <v>0</v>
      </c>
      <c r="AE237" s="34">
        <f>IF(AQ237="7",BI237,0)</f>
        <v>0</v>
      </c>
      <c r="AF237" s="34">
        <f>IF(AQ237="2",BH237,0)</f>
        <v>0</v>
      </c>
      <c r="AG237" s="34">
        <f>IF(AQ237="2",BI237,0)</f>
        <v>0</v>
      </c>
      <c r="AH237" s="34">
        <f>IF(AQ237="0",BJ237,0)</f>
        <v>0</v>
      </c>
      <c r="AI237" s="28" t="s">
        <v>1020</v>
      </c>
      <c r="AJ237" s="18">
        <f>IF(AN237=0,K237,0)</f>
        <v>0</v>
      </c>
      <c r="AK237" s="18">
        <f>IF(AN237=15,K237,0)</f>
        <v>0</v>
      </c>
      <c r="AL237" s="18">
        <f>IF(AN237=21,K237,0)</f>
        <v>0</v>
      </c>
      <c r="AN237" s="34">
        <v>21</v>
      </c>
      <c r="AO237" s="34">
        <f>H237*0.917886469118172</f>
        <v>0</v>
      </c>
      <c r="AP237" s="34">
        <f>H237*(1-0.917886469118172)</f>
        <v>0</v>
      </c>
      <c r="AQ237" s="29" t="s">
        <v>6</v>
      </c>
      <c r="AV237" s="34">
        <f>AW237+AX237</f>
        <v>0</v>
      </c>
      <c r="AW237" s="34">
        <f>G237*AO237</f>
        <v>0</v>
      </c>
      <c r="AX237" s="34">
        <f>G237*AP237</f>
        <v>0</v>
      </c>
      <c r="AY237" s="35" t="s">
        <v>1045</v>
      </c>
      <c r="AZ237" s="35" t="s">
        <v>1070</v>
      </c>
      <c r="BA237" s="28" t="s">
        <v>1085</v>
      </c>
      <c r="BC237" s="34">
        <f>AW237+AX237</f>
        <v>0</v>
      </c>
      <c r="BD237" s="34">
        <f>H237/(100-BE237)*100</f>
        <v>0</v>
      </c>
      <c r="BE237" s="34">
        <v>0</v>
      </c>
      <c r="BF237" s="34">
        <f>237</f>
        <v>237</v>
      </c>
      <c r="BH237" s="18">
        <f>G237*AO237</f>
        <v>0</v>
      </c>
      <c r="BI237" s="18">
        <f>G237*AP237</f>
        <v>0</v>
      </c>
      <c r="BJ237" s="18">
        <f>G237*H237</f>
        <v>0</v>
      </c>
    </row>
    <row r="238" spans="3:7" ht="12.75">
      <c r="C238" s="101" t="s">
        <v>726</v>
      </c>
      <c r="D238" s="102"/>
      <c r="E238" s="102"/>
      <c r="G238" s="64">
        <v>575</v>
      </c>
    </row>
    <row r="239" spans="1:62" ht="12.75">
      <c r="A239" s="5" t="s">
        <v>101</v>
      </c>
      <c r="B239" s="5" t="s">
        <v>419</v>
      </c>
      <c r="C239" s="99" t="s">
        <v>727</v>
      </c>
      <c r="D239" s="100"/>
      <c r="E239" s="100"/>
      <c r="F239" s="5" t="s">
        <v>990</v>
      </c>
      <c r="G239" s="63">
        <v>14375</v>
      </c>
      <c r="H239" s="18">
        <v>0</v>
      </c>
      <c r="I239" s="18">
        <f>G239*AO239</f>
        <v>0</v>
      </c>
      <c r="J239" s="18">
        <f>G239*AP239</f>
        <v>0</v>
      </c>
      <c r="K239" s="18">
        <f>G239*H239</f>
        <v>0</v>
      </c>
      <c r="L239" s="29"/>
      <c r="Z239" s="34">
        <f>IF(AQ239="5",BJ239,0)</f>
        <v>0</v>
      </c>
      <c r="AB239" s="34">
        <f>IF(AQ239="1",BH239,0)</f>
        <v>0</v>
      </c>
      <c r="AC239" s="34">
        <f>IF(AQ239="1",BI239,0)</f>
        <v>0</v>
      </c>
      <c r="AD239" s="34">
        <f>IF(AQ239="7",BH239,0)</f>
        <v>0</v>
      </c>
      <c r="AE239" s="34">
        <f>IF(AQ239="7",BI239,0)</f>
        <v>0</v>
      </c>
      <c r="AF239" s="34">
        <f>IF(AQ239="2",BH239,0)</f>
        <v>0</v>
      </c>
      <c r="AG239" s="34">
        <f>IF(AQ239="2",BI239,0)</f>
        <v>0</v>
      </c>
      <c r="AH239" s="34">
        <f>IF(AQ239="0",BJ239,0)</f>
        <v>0</v>
      </c>
      <c r="AI239" s="28" t="s">
        <v>1020</v>
      </c>
      <c r="AJ239" s="18">
        <f>IF(AN239=0,K239,0)</f>
        <v>0</v>
      </c>
      <c r="AK239" s="18">
        <f>IF(AN239=15,K239,0)</f>
        <v>0</v>
      </c>
      <c r="AL239" s="18">
        <f>IF(AN239=21,K239,0)</f>
        <v>0</v>
      </c>
      <c r="AN239" s="34">
        <v>21</v>
      </c>
      <c r="AO239" s="34">
        <f>H239*0</f>
        <v>0</v>
      </c>
      <c r="AP239" s="34">
        <f>H239*(1-0)</f>
        <v>0</v>
      </c>
      <c r="AQ239" s="29" t="s">
        <v>6</v>
      </c>
      <c r="AV239" s="34">
        <f>AW239+AX239</f>
        <v>0</v>
      </c>
      <c r="AW239" s="34">
        <f>G239*AO239</f>
        <v>0</v>
      </c>
      <c r="AX239" s="34">
        <f>G239*AP239</f>
        <v>0</v>
      </c>
      <c r="AY239" s="35" t="s">
        <v>1045</v>
      </c>
      <c r="AZ239" s="35" t="s">
        <v>1070</v>
      </c>
      <c r="BA239" s="28" t="s">
        <v>1085</v>
      </c>
      <c r="BC239" s="34">
        <f>AW239+AX239</f>
        <v>0</v>
      </c>
      <c r="BD239" s="34">
        <f>H239/(100-BE239)*100</f>
        <v>0</v>
      </c>
      <c r="BE239" s="34">
        <v>0</v>
      </c>
      <c r="BF239" s="34">
        <f>239</f>
        <v>239</v>
      </c>
      <c r="BH239" s="18">
        <f>G239*AO239</f>
        <v>0</v>
      </c>
      <c r="BI239" s="18">
        <f>G239*AP239</f>
        <v>0</v>
      </c>
      <c r="BJ239" s="18">
        <f>G239*H239</f>
        <v>0</v>
      </c>
    </row>
    <row r="240" spans="3:7" ht="12.75">
      <c r="C240" s="101" t="s">
        <v>728</v>
      </c>
      <c r="D240" s="102"/>
      <c r="E240" s="102"/>
      <c r="G240" s="64">
        <v>14375</v>
      </c>
    </row>
    <row r="241" spans="1:62" ht="12.75">
      <c r="A241" s="5" t="s">
        <v>102</v>
      </c>
      <c r="B241" s="5" t="s">
        <v>420</v>
      </c>
      <c r="C241" s="99" t="s">
        <v>729</v>
      </c>
      <c r="D241" s="100"/>
      <c r="E241" s="100"/>
      <c r="F241" s="5" t="s">
        <v>984</v>
      </c>
      <c r="G241" s="63">
        <v>287.5</v>
      </c>
      <c r="H241" s="18">
        <v>0</v>
      </c>
      <c r="I241" s="18">
        <f>G241*AO241</f>
        <v>0</v>
      </c>
      <c r="J241" s="18">
        <f>G241*AP241</f>
        <v>0</v>
      </c>
      <c r="K241" s="18">
        <f>G241*H241</f>
        <v>0</v>
      </c>
      <c r="L241" s="29"/>
      <c r="Z241" s="34">
        <f>IF(AQ241="5",BJ241,0)</f>
        <v>0</v>
      </c>
      <c r="AB241" s="34">
        <f>IF(AQ241="1",BH241,0)</f>
        <v>0</v>
      </c>
      <c r="AC241" s="34">
        <f>IF(AQ241="1",BI241,0)</f>
        <v>0</v>
      </c>
      <c r="AD241" s="34">
        <f>IF(AQ241="7",BH241,0)</f>
        <v>0</v>
      </c>
      <c r="AE241" s="34">
        <f>IF(AQ241="7",BI241,0)</f>
        <v>0</v>
      </c>
      <c r="AF241" s="34">
        <f>IF(AQ241="2",BH241,0)</f>
        <v>0</v>
      </c>
      <c r="AG241" s="34">
        <f>IF(AQ241="2",BI241,0)</f>
        <v>0</v>
      </c>
      <c r="AH241" s="34">
        <f>IF(AQ241="0",BJ241,0)</f>
        <v>0</v>
      </c>
      <c r="AI241" s="28" t="s">
        <v>1020</v>
      </c>
      <c r="AJ241" s="18">
        <f>IF(AN241=0,K241,0)</f>
        <v>0</v>
      </c>
      <c r="AK241" s="18">
        <f>IF(AN241=15,K241,0)</f>
        <v>0</v>
      </c>
      <c r="AL241" s="18">
        <f>IF(AN241=21,K241,0)</f>
        <v>0</v>
      </c>
      <c r="AN241" s="34">
        <v>21</v>
      </c>
      <c r="AO241" s="34">
        <f>H241*0</f>
        <v>0</v>
      </c>
      <c r="AP241" s="34">
        <f>H241*(1-0)</f>
        <v>0</v>
      </c>
      <c r="AQ241" s="29" t="s">
        <v>6</v>
      </c>
      <c r="AV241" s="34">
        <f>AW241+AX241</f>
        <v>0</v>
      </c>
      <c r="AW241" s="34">
        <f>G241*AO241</f>
        <v>0</v>
      </c>
      <c r="AX241" s="34">
        <f>G241*AP241</f>
        <v>0</v>
      </c>
      <c r="AY241" s="35" t="s">
        <v>1045</v>
      </c>
      <c r="AZ241" s="35" t="s">
        <v>1070</v>
      </c>
      <c r="BA241" s="28" t="s">
        <v>1085</v>
      </c>
      <c r="BC241" s="34">
        <f>AW241+AX241</f>
        <v>0</v>
      </c>
      <c r="BD241" s="34">
        <f>H241/(100-BE241)*100</f>
        <v>0</v>
      </c>
      <c r="BE241" s="34">
        <v>0</v>
      </c>
      <c r="BF241" s="34">
        <f>241</f>
        <v>241</v>
      </c>
      <c r="BH241" s="18">
        <f>G241*AO241</f>
        <v>0</v>
      </c>
      <c r="BI241" s="18">
        <f>G241*AP241</f>
        <v>0</v>
      </c>
      <c r="BJ241" s="18">
        <f>G241*H241</f>
        <v>0</v>
      </c>
    </row>
    <row r="242" spans="3:7" ht="12.75">
      <c r="C242" s="101" t="s">
        <v>730</v>
      </c>
      <c r="D242" s="102"/>
      <c r="E242" s="102"/>
      <c r="G242" s="64">
        <v>287.5</v>
      </c>
    </row>
    <row r="243" spans="1:62" ht="12.75">
      <c r="A243" s="5" t="s">
        <v>103</v>
      </c>
      <c r="B243" s="5" t="s">
        <v>421</v>
      </c>
      <c r="C243" s="99" t="s">
        <v>731</v>
      </c>
      <c r="D243" s="100"/>
      <c r="E243" s="100"/>
      <c r="F243" s="5" t="s">
        <v>984</v>
      </c>
      <c r="G243" s="63">
        <v>287.5</v>
      </c>
      <c r="H243" s="18">
        <v>0</v>
      </c>
      <c r="I243" s="18">
        <f>G243*AO243</f>
        <v>0</v>
      </c>
      <c r="J243" s="18">
        <f>G243*AP243</f>
        <v>0</v>
      </c>
      <c r="K243" s="18">
        <f>G243*H243</f>
        <v>0</v>
      </c>
      <c r="L243" s="29"/>
      <c r="Z243" s="34">
        <f>IF(AQ243="5",BJ243,0)</f>
        <v>0</v>
      </c>
      <c r="AB243" s="34">
        <f>IF(AQ243="1",BH243,0)</f>
        <v>0</v>
      </c>
      <c r="AC243" s="34">
        <f>IF(AQ243="1",BI243,0)</f>
        <v>0</v>
      </c>
      <c r="AD243" s="34">
        <f>IF(AQ243="7",BH243,0)</f>
        <v>0</v>
      </c>
      <c r="AE243" s="34">
        <f>IF(AQ243="7",BI243,0)</f>
        <v>0</v>
      </c>
      <c r="AF243" s="34">
        <f>IF(AQ243="2",BH243,0)</f>
        <v>0</v>
      </c>
      <c r="AG243" s="34">
        <f>IF(AQ243="2",BI243,0)</f>
        <v>0</v>
      </c>
      <c r="AH243" s="34">
        <f>IF(AQ243="0",BJ243,0)</f>
        <v>0</v>
      </c>
      <c r="AI243" s="28" t="s">
        <v>1020</v>
      </c>
      <c r="AJ243" s="18">
        <f>IF(AN243=0,K243,0)</f>
        <v>0</v>
      </c>
      <c r="AK243" s="18">
        <f>IF(AN243=15,K243,0)</f>
        <v>0</v>
      </c>
      <c r="AL243" s="18">
        <f>IF(AN243=21,K243,0)</f>
        <v>0</v>
      </c>
      <c r="AN243" s="34">
        <v>21</v>
      </c>
      <c r="AO243" s="34">
        <f>H243*0</f>
        <v>0</v>
      </c>
      <c r="AP243" s="34">
        <f>H243*(1-0)</f>
        <v>0</v>
      </c>
      <c r="AQ243" s="29" t="s">
        <v>6</v>
      </c>
      <c r="AV243" s="34">
        <f>AW243+AX243</f>
        <v>0</v>
      </c>
      <c r="AW243" s="34">
        <f>G243*AO243</f>
        <v>0</v>
      </c>
      <c r="AX243" s="34">
        <f>G243*AP243</f>
        <v>0</v>
      </c>
      <c r="AY243" s="35" t="s">
        <v>1045</v>
      </c>
      <c r="AZ243" s="35" t="s">
        <v>1070</v>
      </c>
      <c r="BA243" s="28" t="s">
        <v>1085</v>
      </c>
      <c r="BC243" s="34">
        <f>AW243+AX243</f>
        <v>0</v>
      </c>
      <c r="BD243" s="34">
        <f>H243/(100-BE243)*100</f>
        <v>0</v>
      </c>
      <c r="BE243" s="34">
        <v>0</v>
      </c>
      <c r="BF243" s="34">
        <f>243</f>
        <v>243</v>
      </c>
      <c r="BH243" s="18">
        <f>G243*AO243</f>
        <v>0</v>
      </c>
      <c r="BI243" s="18">
        <f>G243*AP243</f>
        <v>0</v>
      </c>
      <c r="BJ243" s="18">
        <f>G243*H243</f>
        <v>0</v>
      </c>
    </row>
    <row r="244" spans="3:7" ht="12.75">
      <c r="C244" s="101" t="s">
        <v>730</v>
      </c>
      <c r="D244" s="102"/>
      <c r="E244" s="102"/>
      <c r="G244" s="64">
        <v>287.5</v>
      </c>
    </row>
    <row r="245" spans="1:62" ht="12.75">
      <c r="A245" s="5" t="s">
        <v>104</v>
      </c>
      <c r="B245" s="5" t="s">
        <v>422</v>
      </c>
      <c r="C245" s="99" t="s">
        <v>732</v>
      </c>
      <c r="D245" s="100"/>
      <c r="E245" s="100"/>
      <c r="F245" s="5" t="s">
        <v>984</v>
      </c>
      <c r="G245" s="63">
        <v>575</v>
      </c>
      <c r="H245" s="18">
        <v>0</v>
      </c>
      <c r="I245" s="18">
        <f>G245*AO245</f>
        <v>0</v>
      </c>
      <c r="J245" s="18">
        <f>G245*AP245</f>
        <v>0</v>
      </c>
      <c r="K245" s="18">
        <f>G245*H245</f>
        <v>0</v>
      </c>
      <c r="L245" s="29"/>
      <c r="Z245" s="34">
        <f>IF(AQ245="5",BJ245,0)</f>
        <v>0</v>
      </c>
      <c r="AB245" s="34">
        <f>IF(AQ245="1",BH245,0)</f>
        <v>0</v>
      </c>
      <c r="AC245" s="34">
        <f>IF(AQ245="1",BI245,0)</f>
        <v>0</v>
      </c>
      <c r="AD245" s="34">
        <f>IF(AQ245="7",BH245,0)</f>
        <v>0</v>
      </c>
      <c r="AE245" s="34">
        <f>IF(AQ245="7",BI245,0)</f>
        <v>0</v>
      </c>
      <c r="AF245" s="34">
        <f>IF(AQ245="2",BH245,0)</f>
        <v>0</v>
      </c>
      <c r="AG245" s="34">
        <f>IF(AQ245="2",BI245,0)</f>
        <v>0</v>
      </c>
      <c r="AH245" s="34">
        <f>IF(AQ245="0",BJ245,0)</f>
        <v>0</v>
      </c>
      <c r="AI245" s="28" t="s">
        <v>1020</v>
      </c>
      <c r="AJ245" s="18">
        <f>IF(AN245=0,K245,0)</f>
        <v>0</v>
      </c>
      <c r="AK245" s="18">
        <f>IF(AN245=15,K245,0)</f>
        <v>0</v>
      </c>
      <c r="AL245" s="18">
        <f>IF(AN245=21,K245,0)</f>
        <v>0</v>
      </c>
      <c r="AN245" s="34">
        <v>21</v>
      </c>
      <c r="AO245" s="34">
        <f>H245*1</f>
        <v>0</v>
      </c>
      <c r="AP245" s="34">
        <f>H245*(1-1)</f>
        <v>0</v>
      </c>
      <c r="AQ245" s="29" t="s">
        <v>6</v>
      </c>
      <c r="AV245" s="34">
        <f>AW245+AX245</f>
        <v>0</v>
      </c>
      <c r="AW245" s="34">
        <f>G245*AO245</f>
        <v>0</v>
      </c>
      <c r="AX245" s="34">
        <f>G245*AP245</f>
        <v>0</v>
      </c>
      <c r="AY245" s="35" t="s">
        <v>1045</v>
      </c>
      <c r="AZ245" s="35" t="s">
        <v>1070</v>
      </c>
      <c r="BA245" s="28" t="s">
        <v>1085</v>
      </c>
      <c r="BC245" s="34">
        <f>AW245+AX245</f>
        <v>0</v>
      </c>
      <c r="BD245" s="34">
        <f>H245/(100-BE245)*100</f>
        <v>0</v>
      </c>
      <c r="BE245" s="34">
        <v>0</v>
      </c>
      <c r="BF245" s="34">
        <f>245</f>
        <v>245</v>
      </c>
      <c r="BH245" s="18">
        <f>G245*AO245</f>
        <v>0</v>
      </c>
      <c r="BI245" s="18">
        <f>G245*AP245</f>
        <v>0</v>
      </c>
      <c r="BJ245" s="18">
        <f>G245*H245</f>
        <v>0</v>
      </c>
    </row>
    <row r="246" spans="3:7" ht="12.75">
      <c r="C246" s="101" t="s">
        <v>726</v>
      </c>
      <c r="D246" s="102"/>
      <c r="E246" s="102"/>
      <c r="G246" s="64">
        <v>575</v>
      </c>
    </row>
    <row r="247" spans="1:62" ht="12.75">
      <c r="A247" s="5" t="s">
        <v>105</v>
      </c>
      <c r="B247" s="5" t="s">
        <v>423</v>
      </c>
      <c r="C247" s="99" t="s">
        <v>733</v>
      </c>
      <c r="D247" s="100"/>
      <c r="E247" s="100"/>
      <c r="F247" s="5" t="s">
        <v>984</v>
      </c>
      <c r="G247" s="63">
        <v>287.5</v>
      </c>
      <c r="H247" s="18">
        <v>0</v>
      </c>
      <c r="I247" s="18">
        <f>G247*AO247</f>
        <v>0</v>
      </c>
      <c r="J247" s="18">
        <f>G247*AP247</f>
        <v>0</v>
      </c>
      <c r="K247" s="18">
        <f>G247*H247</f>
        <v>0</v>
      </c>
      <c r="L247" s="29"/>
      <c r="Z247" s="34">
        <f>IF(AQ247="5",BJ247,0)</f>
        <v>0</v>
      </c>
      <c r="AB247" s="34">
        <f>IF(AQ247="1",BH247,0)</f>
        <v>0</v>
      </c>
      <c r="AC247" s="34">
        <f>IF(AQ247="1",BI247,0)</f>
        <v>0</v>
      </c>
      <c r="AD247" s="34">
        <f>IF(AQ247="7",BH247,0)</f>
        <v>0</v>
      </c>
      <c r="AE247" s="34">
        <f>IF(AQ247="7",BI247,0)</f>
        <v>0</v>
      </c>
      <c r="AF247" s="34">
        <f>IF(AQ247="2",BH247,0)</f>
        <v>0</v>
      </c>
      <c r="AG247" s="34">
        <f>IF(AQ247="2",BI247,0)</f>
        <v>0</v>
      </c>
      <c r="AH247" s="34">
        <f>IF(AQ247="0",BJ247,0)</f>
        <v>0</v>
      </c>
      <c r="AI247" s="28" t="s">
        <v>1020</v>
      </c>
      <c r="AJ247" s="18">
        <f>IF(AN247=0,K247,0)</f>
        <v>0</v>
      </c>
      <c r="AK247" s="18">
        <f>IF(AN247=15,K247,0)</f>
        <v>0</v>
      </c>
      <c r="AL247" s="18">
        <f>IF(AN247=21,K247,0)</f>
        <v>0</v>
      </c>
      <c r="AN247" s="34">
        <v>21</v>
      </c>
      <c r="AO247" s="34">
        <f>H247*0</f>
        <v>0</v>
      </c>
      <c r="AP247" s="34">
        <f>H247*(1-0)</f>
        <v>0</v>
      </c>
      <c r="AQ247" s="29" t="s">
        <v>6</v>
      </c>
      <c r="AV247" s="34">
        <f>AW247+AX247</f>
        <v>0</v>
      </c>
      <c r="AW247" s="34">
        <f>G247*AO247</f>
        <v>0</v>
      </c>
      <c r="AX247" s="34">
        <f>G247*AP247</f>
        <v>0</v>
      </c>
      <c r="AY247" s="35" t="s">
        <v>1045</v>
      </c>
      <c r="AZ247" s="35" t="s">
        <v>1070</v>
      </c>
      <c r="BA247" s="28" t="s">
        <v>1085</v>
      </c>
      <c r="BC247" s="34">
        <f>AW247+AX247</f>
        <v>0</v>
      </c>
      <c r="BD247" s="34">
        <f>H247/(100-BE247)*100</f>
        <v>0</v>
      </c>
      <c r="BE247" s="34">
        <v>0</v>
      </c>
      <c r="BF247" s="34">
        <f>247</f>
        <v>247</v>
      </c>
      <c r="BH247" s="18">
        <f>G247*AO247</f>
        <v>0</v>
      </c>
      <c r="BI247" s="18">
        <f>G247*AP247</f>
        <v>0</v>
      </c>
      <c r="BJ247" s="18">
        <f>G247*H247</f>
        <v>0</v>
      </c>
    </row>
    <row r="248" spans="3:7" ht="12.75">
      <c r="C248" s="101" t="s">
        <v>730</v>
      </c>
      <c r="D248" s="102"/>
      <c r="E248" s="102"/>
      <c r="G248" s="64">
        <v>287.5</v>
      </c>
    </row>
    <row r="249" spans="1:47" ht="12.75">
      <c r="A249" s="4"/>
      <c r="B249" s="14" t="s">
        <v>100</v>
      </c>
      <c r="C249" s="97" t="s">
        <v>734</v>
      </c>
      <c r="D249" s="98"/>
      <c r="E249" s="98"/>
      <c r="F249" s="4" t="s">
        <v>5</v>
      </c>
      <c r="G249" s="4" t="s">
        <v>5</v>
      </c>
      <c r="H249" s="4" t="s">
        <v>5</v>
      </c>
      <c r="I249" s="37">
        <f>SUM(I250:I256)</f>
        <v>0</v>
      </c>
      <c r="J249" s="37">
        <f>SUM(J250:J256)</f>
        <v>0</v>
      </c>
      <c r="K249" s="37">
        <f>SUM(K250:K256)</f>
        <v>0</v>
      </c>
      <c r="L249" s="28"/>
      <c r="AI249" s="28" t="s">
        <v>1020</v>
      </c>
      <c r="AS249" s="37">
        <f>SUM(AJ250:AJ256)</f>
        <v>0</v>
      </c>
      <c r="AT249" s="37">
        <f>SUM(AK250:AK256)</f>
        <v>0</v>
      </c>
      <c r="AU249" s="37">
        <f>SUM(AL250:AL256)</f>
        <v>0</v>
      </c>
    </row>
    <row r="250" spans="1:62" ht="12.75">
      <c r="A250" s="5" t="s">
        <v>106</v>
      </c>
      <c r="B250" s="5" t="s">
        <v>424</v>
      </c>
      <c r="C250" s="99" t="s">
        <v>735</v>
      </c>
      <c r="D250" s="100"/>
      <c r="E250" s="100"/>
      <c r="F250" s="5" t="s">
        <v>986</v>
      </c>
      <c r="G250" s="63">
        <v>0.9</v>
      </c>
      <c r="H250" s="18">
        <v>0</v>
      </c>
      <c r="I250" s="18">
        <f>G250*AO250</f>
        <v>0</v>
      </c>
      <c r="J250" s="18">
        <f>G250*AP250</f>
        <v>0</v>
      </c>
      <c r="K250" s="18">
        <f>G250*H250</f>
        <v>0</v>
      </c>
      <c r="L250" s="29"/>
      <c r="Z250" s="34">
        <f>IF(AQ250="5",BJ250,0)</f>
        <v>0</v>
      </c>
      <c r="AB250" s="34">
        <f>IF(AQ250="1",BH250,0)</f>
        <v>0</v>
      </c>
      <c r="AC250" s="34">
        <f>IF(AQ250="1",BI250,0)</f>
        <v>0</v>
      </c>
      <c r="AD250" s="34">
        <f>IF(AQ250="7",BH250,0)</f>
        <v>0</v>
      </c>
      <c r="AE250" s="34">
        <f>IF(AQ250="7",BI250,0)</f>
        <v>0</v>
      </c>
      <c r="AF250" s="34">
        <f>IF(AQ250="2",BH250,0)</f>
        <v>0</v>
      </c>
      <c r="AG250" s="34">
        <f>IF(AQ250="2",BI250,0)</f>
        <v>0</v>
      </c>
      <c r="AH250" s="34">
        <f>IF(AQ250="0",BJ250,0)</f>
        <v>0</v>
      </c>
      <c r="AI250" s="28" t="s">
        <v>1020</v>
      </c>
      <c r="AJ250" s="18">
        <f>IF(AN250=0,K250,0)</f>
        <v>0</v>
      </c>
      <c r="AK250" s="18">
        <f>IF(AN250=15,K250,0)</f>
        <v>0</v>
      </c>
      <c r="AL250" s="18">
        <f>IF(AN250=21,K250,0)</f>
        <v>0</v>
      </c>
      <c r="AN250" s="34">
        <v>21</v>
      </c>
      <c r="AO250" s="34">
        <f>H250*0.496094959930984</f>
        <v>0</v>
      </c>
      <c r="AP250" s="34">
        <f>H250*(1-0.496094959930984)</f>
        <v>0</v>
      </c>
      <c r="AQ250" s="29" t="s">
        <v>6</v>
      </c>
      <c r="AV250" s="34">
        <f>AW250+AX250</f>
        <v>0</v>
      </c>
      <c r="AW250" s="34">
        <f>G250*AO250</f>
        <v>0</v>
      </c>
      <c r="AX250" s="34">
        <f>G250*AP250</f>
        <v>0</v>
      </c>
      <c r="AY250" s="35" t="s">
        <v>1046</v>
      </c>
      <c r="AZ250" s="35" t="s">
        <v>1070</v>
      </c>
      <c r="BA250" s="28" t="s">
        <v>1085</v>
      </c>
      <c r="BC250" s="34">
        <f>AW250+AX250</f>
        <v>0</v>
      </c>
      <c r="BD250" s="34">
        <f>H250/(100-BE250)*100</f>
        <v>0</v>
      </c>
      <c r="BE250" s="34">
        <v>0</v>
      </c>
      <c r="BF250" s="34">
        <f>250</f>
        <v>250</v>
      </c>
      <c r="BH250" s="18">
        <f>G250*AO250</f>
        <v>0</v>
      </c>
      <c r="BI250" s="18">
        <f>G250*AP250</f>
        <v>0</v>
      </c>
      <c r="BJ250" s="18">
        <f>G250*H250</f>
        <v>0</v>
      </c>
    </row>
    <row r="251" spans="3:7" ht="12.75">
      <c r="C251" s="101" t="s">
        <v>736</v>
      </c>
      <c r="D251" s="102"/>
      <c r="E251" s="102"/>
      <c r="G251" s="64">
        <v>0.9</v>
      </c>
    </row>
    <row r="252" spans="1:62" ht="12.75">
      <c r="A252" s="5" t="s">
        <v>107</v>
      </c>
      <c r="B252" s="5" t="s">
        <v>425</v>
      </c>
      <c r="C252" s="99" t="s">
        <v>737</v>
      </c>
      <c r="D252" s="100"/>
      <c r="E252" s="100"/>
      <c r="F252" s="5" t="s">
        <v>988</v>
      </c>
      <c r="G252" s="63">
        <v>2</v>
      </c>
      <c r="H252" s="18">
        <v>0</v>
      </c>
      <c r="I252" s="18">
        <f>G252*AO252</f>
        <v>0</v>
      </c>
      <c r="J252" s="18">
        <f>G252*AP252</f>
        <v>0</v>
      </c>
      <c r="K252" s="18">
        <f>G252*H252</f>
        <v>0</v>
      </c>
      <c r="L252" s="29"/>
      <c r="Z252" s="34">
        <f>IF(AQ252="5",BJ252,0)</f>
        <v>0</v>
      </c>
      <c r="AB252" s="34">
        <f>IF(AQ252="1",BH252,0)</f>
        <v>0</v>
      </c>
      <c r="AC252" s="34">
        <f>IF(AQ252="1",BI252,0)</f>
        <v>0</v>
      </c>
      <c r="AD252" s="34">
        <f>IF(AQ252="7",BH252,0)</f>
        <v>0</v>
      </c>
      <c r="AE252" s="34">
        <f>IF(AQ252="7",BI252,0)</f>
        <v>0</v>
      </c>
      <c r="AF252" s="34">
        <f>IF(AQ252="2",BH252,0)</f>
        <v>0</v>
      </c>
      <c r="AG252" s="34">
        <f>IF(AQ252="2",BI252,0)</f>
        <v>0</v>
      </c>
      <c r="AH252" s="34">
        <f>IF(AQ252="0",BJ252,0)</f>
        <v>0</v>
      </c>
      <c r="AI252" s="28" t="s">
        <v>1020</v>
      </c>
      <c r="AJ252" s="18">
        <f>IF(AN252=0,K252,0)</f>
        <v>0</v>
      </c>
      <c r="AK252" s="18">
        <f>IF(AN252=15,K252,0)</f>
        <v>0</v>
      </c>
      <c r="AL252" s="18">
        <f>IF(AN252=21,K252,0)</f>
        <v>0</v>
      </c>
      <c r="AN252" s="34">
        <v>21</v>
      </c>
      <c r="AO252" s="34">
        <f>H252*0</f>
        <v>0</v>
      </c>
      <c r="AP252" s="34">
        <f>H252*(1-0)</f>
        <v>0</v>
      </c>
      <c r="AQ252" s="29" t="s">
        <v>6</v>
      </c>
      <c r="AV252" s="34">
        <f>AW252+AX252</f>
        <v>0</v>
      </c>
      <c r="AW252" s="34">
        <f>G252*AO252</f>
        <v>0</v>
      </c>
      <c r="AX252" s="34">
        <f>G252*AP252</f>
        <v>0</v>
      </c>
      <c r="AY252" s="35" t="s">
        <v>1046</v>
      </c>
      <c r="AZ252" s="35" t="s">
        <v>1070</v>
      </c>
      <c r="BA252" s="28" t="s">
        <v>1085</v>
      </c>
      <c r="BC252" s="34">
        <f>AW252+AX252</f>
        <v>0</v>
      </c>
      <c r="BD252" s="34">
        <f>H252/(100-BE252)*100</f>
        <v>0</v>
      </c>
      <c r="BE252" s="34">
        <v>0</v>
      </c>
      <c r="BF252" s="34">
        <f>252</f>
        <v>252</v>
      </c>
      <c r="BH252" s="18">
        <f>G252*AO252</f>
        <v>0</v>
      </c>
      <c r="BI252" s="18">
        <f>G252*AP252</f>
        <v>0</v>
      </c>
      <c r="BJ252" s="18">
        <f>G252*H252</f>
        <v>0</v>
      </c>
    </row>
    <row r="253" spans="3:7" ht="12.75">
      <c r="C253" s="101" t="s">
        <v>7</v>
      </c>
      <c r="D253" s="102"/>
      <c r="E253" s="102"/>
      <c r="G253" s="64">
        <v>2</v>
      </c>
    </row>
    <row r="254" spans="1:62" ht="12.75">
      <c r="A254" s="6" t="s">
        <v>108</v>
      </c>
      <c r="B254" s="6" t="s">
        <v>426</v>
      </c>
      <c r="C254" s="103" t="s">
        <v>738</v>
      </c>
      <c r="D254" s="104"/>
      <c r="E254" s="104"/>
      <c r="F254" s="6" t="s">
        <v>988</v>
      </c>
      <c r="G254" s="65">
        <v>2</v>
      </c>
      <c r="H254" s="19">
        <v>0</v>
      </c>
      <c r="I254" s="19">
        <f>G254*AO254</f>
        <v>0</v>
      </c>
      <c r="J254" s="19">
        <f>G254*AP254</f>
        <v>0</v>
      </c>
      <c r="K254" s="19">
        <f>G254*H254</f>
        <v>0</v>
      </c>
      <c r="L254" s="30"/>
      <c r="Z254" s="34">
        <f>IF(AQ254="5",BJ254,0)</f>
        <v>0</v>
      </c>
      <c r="AB254" s="34">
        <f>IF(AQ254="1",BH254,0)</f>
        <v>0</v>
      </c>
      <c r="AC254" s="34">
        <f>IF(AQ254="1",BI254,0)</f>
        <v>0</v>
      </c>
      <c r="AD254" s="34">
        <f>IF(AQ254="7",BH254,0)</f>
        <v>0</v>
      </c>
      <c r="AE254" s="34">
        <f>IF(AQ254="7",BI254,0)</f>
        <v>0</v>
      </c>
      <c r="AF254" s="34">
        <f>IF(AQ254="2",BH254,0)</f>
        <v>0</v>
      </c>
      <c r="AG254" s="34">
        <f>IF(AQ254="2",BI254,0)</f>
        <v>0</v>
      </c>
      <c r="AH254" s="34">
        <f>IF(AQ254="0",BJ254,0)</f>
        <v>0</v>
      </c>
      <c r="AI254" s="28" t="s">
        <v>1020</v>
      </c>
      <c r="AJ254" s="19">
        <f>IF(AN254=0,K254,0)</f>
        <v>0</v>
      </c>
      <c r="AK254" s="19">
        <f>IF(AN254=15,K254,0)</f>
        <v>0</v>
      </c>
      <c r="AL254" s="19">
        <f>IF(AN254=21,K254,0)</f>
        <v>0</v>
      </c>
      <c r="AN254" s="34">
        <v>21</v>
      </c>
      <c r="AO254" s="34">
        <f>H254*1</f>
        <v>0</v>
      </c>
      <c r="AP254" s="34">
        <f>H254*(1-1)</f>
        <v>0</v>
      </c>
      <c r="AQ254" s="30" t="s">
        <v>6</v>
      </c>
      <c r="AV254" s="34">
        <f>AW254+AX254</f>
        <v>0</v>
      </c>
      <c r="AW254" s="34">
        <f>G254*AO254</f>
        <v>0</v>
      </c>
      <c r="AX254" s="34">
        <f>G254*AP254</f>
        <v>0</v>
      </c>
      <c r="AY254" s="35" t="s">
        <v>1046</v>
      </c>
      <c r="AZ254" s="35" t="s">
        <v>1070</v>
      </c>
      <c r="BA254" s="28" t="s">
        <v>1085</v>
      </c>
      <c r="BC254" s="34">
        <f>AW254+AX254</f>
        <v>0</v>
      </c>
      <c r="BD254" s="34">
        <f>H254/(100-BE254)*100</f>
        <v>0</v>
      </c>
      <c r="BE254" s="34">
        <v>0</v>
      </c>
      <c r="BF254" s="34">
        <f>254</f>
        <v>254</v>
      </c>
      <c r="BH254" s="19">
        <f>G254*AO254</f>
        <v>0</v>
      </c>
      <c r="BI254" s="19">
        <f>G254*AP254</f>
        <v>0</v>
      </c>
      <c r="BJ254" s="19">
        <f>G254*H254</f>
        <v>0</v>
      </c>
    </row>
    <row r="255" spans="3:7" ht="12.75">
      <c r="C255" s="101" t="s">
        <v>7</v>
      </c>
      <c r="D255" s="102"/>
      <c r="E255" s="102"/>
      <c r="G255" s="64">
        <v>2</v>
      </c>
    </row>
    <row r="256" spans="1:62" ht="12.75">
      <c r="A256" s="5" t="s">
        <v>109</v>
      </c>
      <c r="B256" s="5" t="s">
        <v>427</v>
      </c>
      <c r="C256" s="99" t="s">
        <v>739</v>
      </c>
      <c r="D256" s="100"/>
      <c r="E256" s="100"/>
      <c r="F256" s="5" t="s">
        <v>984</v>
      </c>
      <c r="G256" s="63">
        <v>167.24</v>
      </c>
      <c r="H256" s="18">
        <v>0</v>
      </c>
      <c r="I256" s="18">
        <f>G256*AO256</f>
        <v>0</v>
      </c>
      <c r="J256" s="18">
        <f>G256*AP256</f>
        <v>0</v>
      </c>
      <c r="K256" s="18">
        <f>G256*H256</f>
        <v>0</v>
      </c>
      <c r="L256" s="29"/>
      <c r="Z256" s="34">
        <f>IF(AQ256="5",BJ256,0)</f>
        <v>0</v>
      </c>
      <c r="AB256" s="34">
        <f>IF(AQ256="1",BH256,0)</f>
        <v>0</v>
      </c>
      <c r="AC256" s="34">
        <f>IF(AQ256="1",BI256,0)</f>
        <v>0</v>
      </c>
      <c r="AD256" s="34">
        <f>IF(AQ256="7",BH256,0)</f>
        <v>0</v>
      </c>
      <c r="AE256" s="34">
        <f>IF(AQ256="7",BI256,0)</f>
        <v>0</v>
      </c>
      <c r="AF256" s="34">
        <f>IF(AQ256="2",BH256,0)</f>
        <v>0</v>
      </c>
      <c r="AG256" s="34">
        <f>IF(AQ256="2",BI256,0)</f>
        <v>0</v>
      </c>
      <c r="AH256" s="34">
        <f>IF(AQ256="0",BJ256,0)</f>
        <v>0</v>
      </c>
      <c r="AI256" s="28" t="s">
        <v>1020</v>
      </c>
      <c r="AJ256" s="18">
        <f>IF(AN256=0,K256,0)</f>
        <v>0</v>
      </c>
      <c r="AK256" s="18">
        <f>IF(AN256=15,K256,0)</f>
        <v>0</v>
      </c>
      <c r="AL256" s="18">
        <f>IF(AN256=21,K256,0)</f>
        <v>0</v>
      </c>
      <c r="AN256" s="34">
        <v>21</v>
      </c>
      <c r="AO256" s="34">
        <f>H256*0.013</f>
        <v>0</v>
      </c>
      <c r="AP256" s="34">
        <f>H256*(1-0.013)</f>
        <v>0</v>
      </c>
      <c r="AQ256" s="29" t="s">
        <v>6</v>
      </c>
      <c r="AV256" s="34">
        <f>AW256+AX256</f>
        <v>0</v>
      </c>
      <c r="AW256" s="34">
        <f>G256*AO256</f>
        <v>0</v>
      </c>
      <c r="AX256" s="34">
        <f>G256*AP256</f>
        <v>0</v>
      </c>
      <c r="AY256" s="35" t="s">
        <v>1046</v>
      </c>
      <c r="AZ256" s="35" t="s">
        <v>1070</v>
      </c>
      <c r="BA256" s="28" t="s">
        <v>1085</v>
      </c>
      <c r="BC256" s="34">
        <f>AW256+AX256</f>
        <v>0</v>
      </c>
      <c r="BD256" s="34">
        <f>H256/(100-BE256)*100</f>
        <v>0</v>
      </c>
      <c r="BE256" s="34">
        <v>0</v>
      </c>
      <c r="BF256" s="34">
        <f>256</f>
        <v>256</v>
      </c>
      <c r="BH256" s="18">
        <f>G256*AO256</f>
        <v>0</v>
      </c>
      <c r="BI256" s="18">
        <f>G256*AP256</f>
        <v>0</v>
      </c>
      <c r="BJ256" s="18">
        <f>G256*H256</f>
        <v>0</v>
      </c>
    </row>
    <row r="257" spans="3:7" ht="12.75">
      <c r="C257" s="101" t="s">
        <v>740</v>
      </c>
      <c r="D257" s="102"/>
      <c r="E257" s="102"/>
      <c r="G257" s="64">
        <v>167.24</v>
      </c>
    </row>
    <row r="258" spans="1:47" ht="12.75">
      <c r="A258" s="4"/>
      <c r="B258" s="14" t="s">
        <v>102</v>
      </c>
      <c r="C258" s="97" t="s">
        <v>741</v>
      </c>
      <c r="D258" s="98"/>
      <c r="E258" s="98"/>
      <c r="F258" s="4" t="s">
        <v>5</v>
      </c>
      <c r="G258" s="4" t="s">
        <v>5</v>
      </c>
      <c r="H258" s="4" t="s">
        <v>5</v>
      </c>
      <c r="I258" s="37">
        <f>SUM(I259:I261)</f>
        <v>0</v>
      </c>
      <c r="J258" s="37">
        <f>SUM(J259:J261)</f>
        <v>0</v>
      </c>
      <c r="K258" s="37">
        <f>SUM(K259:K261)</f>
        <v>0</v>
      </c>
      <c r="L258" s="28"/>
      <c r="AI258" s="28" t="s">
        <v>1020</v>
      </c>
      <c r="AS258" s="37">
        <f>SUM(AJ259:AJ261)</f>
        <v>0</v>
      </c>
      <c r="AT258" s="37">
        <f>SUM(AK259:AK261)</f>
        <v>0</v>
      </c>
      <c r="AU258" s="37">
        <f>SUM(AL259:AL261)</f>
        <v>0</v>
      </c>
    </row>
    <row r="259" spans="1:62" ht="12.75">
      <c r="A259" s="5" t="s">
        <v>110</v>
      </c>
      <c r="B259" s="5" t="s">
        <v>428</v>
      </c>
      <c r="C259" s="99" t="s">
        <v>742</v>
      </c>
      <c r="D259" s="100"/>
      <c r="E259" s="100"/>
      <c r="F259" s="5" t="s">
        <v>984</v>
      </c>
      <c r="G259" s="63">
        <v>240.092</v>
      </c>
      <c r="H259" s="18">
        <v>0</v>
      </c>
      <c r="I259" s="18">
        <f>G259*AO259</f>
        <v>0</v>
      </c>
      <c r="J259" s="18">
        <f>G259*AP259</f>
        <v>0</v>
      </c>
      <c r="K259" s="18">
        <f>G259*H259</f>
        <v>0</v>
      </c>
      <c r="L259" s="29"/>
      <c r="Z259" s="34">
        <f>IF(AQ259="5",BJ259,0)</f>
        <v>0</v>
      </c>
      <c r="AB259" s="34">
        <f>IF(AQ259="1",BH259,0)</f>
        <v>0</v>
      </c>
      <c r="AC259" s="34">
        <f>IF(AQ259="1",BI259,0)</f>
        <v>0</v>
      </c>
      <c r="AD259" s="34">
        <f>IF(AQ259="7",BH259,0)</f>
        <v>0</v>
      </c>
      <c r="AE259" s="34">
        <f>IF(AQ259="7",BI259,0)</f>
        <v>0</v>
      </c>
      <c r="AF259" s="34">
        <f>IF(AQ259="2",BH259,0)</f>
        <v>0</v>
      </c>
      <c r="AG259" s="34">
        <f>IF(AQ259="2",BI259,0)</f>
        <v>0</v>
      </c>
      <c r="AH259" s="34">
        <f>IF(AQ259="0",BJ259,0)</f>
        <v>0</v>
      </c>
      <c r="AI259" s="28" t="s">
        <v>1020</v>
      </c>
      <c r="AJ259" s="18">
        <f>IF(AN259=0,K259,0)</f>
        <v>0</v>
      </c>
      <c r="AK259" s="18">
        <f>IF(AN259=15,K259,0)</f>
        <v>0</v>
      </c>
      <c r="AL259" s="18">
        <f>IF(AN259=21,K259,0)</f>
        <v>0</v>
      </c>
      <c r="AN259" s="34">
        <v>21</v>
      </c>
      <c r="AO259" s="34">
        <f>H259*0</f>
        <v>0</v>
      </c>
      <c r="AP259" s="34">
        <f>H259*(1-0)</f>
        <v>0</v>
      </c>
      <c r="AQ259" s="29" t="s">
        <v>6</v>
      </c>
      <c r="AV259" s="34">
        <f>AW259+AX259</f>
        <v>0</v>
      </c>
      <c r="AW259" s="34">
        <f>G259*AO259</f>
        <v>0</v>
      </c>
      <c r="AX259" s="34">
        <f>G259*AP259</f>
        <v>0</v>
      </c>
      <c r="AY259" s="35" t="s">
        <v>1047</v>
      </c>
      <c r="AZ259" s="35" t="s">
        <v>1070</v>
      </c>
      <c r="BA259" s="28" t="s">
        <v>1085</v>
      </c>
      <c r="BC259" s="34">
        <f>AW259+AX259</f>
        <v>0</v>
      </c>
      <c r="BD259" s="34">
        <f>H259/(100-BE259)*100</f>
        <v>0</v>
      </c>
      <c r="BE259" s="34">
        <v>0</v>
      </c>
      <c r="BF259" s="34">
        <f>259</f>
        <v>259</v>
      </c>
      <c r="BH259" s="18">
        <f>G259*AO259</f>
        <v>0</v>
      </c>
      <c r="BI259" s="18">
        <f>G259*AP259</f>
        <v>0</v>
      </c>
      <c r="BJ259" s="18">
        <f>G259*H259</f>
        <v>0</v>
      </c>
    </row>
    <row r="260" spans="3:7" ht="12.75">
      <c r="C260" s="101" t="s">
        <v>611</v>
      </c>
      <c r="D260" s="102"/>
      <c r="E260" s="102"/>
      <c r="G260" s="64">
        <v>240.092</v>
      </c>
    </row>
    <row r="261" spans="1:62" ht="12.75">
      <c r="A261" s="5" t="s">
        <v>111</v>
      </c>
      <c r="B261" s="5" t="s">
        <v>429</v>
      </c>
      <c r="C261" s="99" t="s">
        <v>743</v>
      </c>
      <c r="D261" s="100"/>
      <c r="E261" s="100"/>
      <c r="F261" s="5" t="s">
        <v>986</v>
      </c>
      <c r="G261" s="63">
        <v>13.4</v>
      </c>
      <c r="H261" s="18">
        <v>0</v>
      </c>
      <c r="I261" s="18">
        <f>G261*AO261</f>
        <v>0</v>
      </c>
      <c r="J261" s="18">
        <f>G261*AP261</f>
        <v>0</v>
      </c>
      <c r="K261" s="18">
        <f>G261*H261</f>
        <v>0</v>
      </c>
      <c r="L261" s="29"/>
      <c r="Z261" s="34">
        <f>IF(AQ261="5",BJ261,0)</f>
        <v>0</v>
      </c>
      <c r="AB261" s="34">
        <f>IF(AQ261="1",BH261,0)</f>
        <v>0</v>
      </c>
      <c r="AC261" s="34">
        <f>IF(AQ261="1",BI261,0)</f>
        <v>0</v>
      </c>
      <c r="AD261" s="34">
        <f>IF(AQ261="7",BH261,0)</f>
        <v>0</v>
      </c>
      <c r="AE261" s="34">
        <f>IF(AQ261="7",BI261,0)</f>
        <v>0</v>
      </c>
      <c r="AF261" s="34">
        <f>IF(AQ261="2",BH261,0)</f>
        <v>0</v>
      </c>
      <c r="AG261" s="34">
        <f>IF(AQ261="2",BI261,0)</f>
        <v>0</v>
      </c>
      <c r="AH261" s="34">
        <f>IF(AQ261="0",BJ261,0)</f>
        <v>0</v>
      </c>
      <c r="AI261" s="28" t="s">
        <v>1020</v>
      </c>
      <c r="AJ261" s="18">
        <f>IF(AN261=0,K261,0)</f>
        <v>0</v>
      </c>
      <c r="AK261" s="18">
        <f>IF(AN261=15,K261,0)</f>
        <v>0</v>
      </c>
      <c r="AL261" s="18">
        <f>IF(AN261=21,K261,0)</f>
        <v>0</v>
      </c>
      <c r="AN261" s="34">
        <v>21</v>
      </c>
      <c r="AO261" s="34">
        <f>H261*0.169075144508671</f>
        <v>0</v>
      </c>
      <c r="AP261" s="34">
        <f>H261*(1-0.169075144508671)</f>
        <v>0</v>
      </c>
      <c r="AQ261" s="29" t="s">
        <v>6</v>
      </c>
      <c r="AV261" s="34">
        <f>AW261+AX261</f>
        <v>0</v>
      </c>
      <c r="AW261" s="34">
        <f>G261*AO261</f>
        <v>0</v>
      </c>
      <c r="AX261" s="34">
        <f>G261*AP261</f>
        <v>0</v>
      </c>
      <c r="AY261" s="35" t="s">
        <v>1047</v>
      </c>
      <c r="AZ261" s="35" t="s">
        <v>1070</v>
      </c>
      <c r="BA261" s="28" t="s">
        <v>1085</v>
      </c>
      <c r="BC261" s="34">
        <f>AW261+AX261</f>
        <v>0</v>
      </c>
      <c r="BD261" s="34">
        <f>H261/(100-BE261)*100</f>
        <v>0</v>
      </c>
      <c r="BE261" s="34">
        <v>0</v>
      </c>
      <c r="BF261" s="34">
        <f>261</f>
        <v>261</v>
      </c>
      <c r="BH261" s="18">
        <f>G261*AO261</f>
        <v>0</v>
      </c>
      <c r="BI261" s="18">
        <f>G261*AP261</f>
        <v>0</v>
      </c>
      <c r="BJ261" s="18">
        <f>G261*H261</f>
        <v>0</v>
      </c>
    </row>
    <row r="262" spans="3:7" ht="12.75">
      <c r="C262" s="101" t="s">
        <v>744</v>
      </c>
      <c r="D262" s="102"/>
      <c r="E262" s="102"/>
      <c r="G262" s="64">
        <v>13.4</v>
      </c>
    </row>
    <row r="263" spans="1:47" ht="12.75">
      <c r="A263" s="4"/>
      <c r="B263" s="14" t="s">
        <v>430</v>
      </c>
      <c r="C263" s="97" t="s">
        <v>745</v>
      </c>
      <c r="D263" s="98"/>
      <c r="E263" s="98"/>
      <c r="F263" s="4" t="s">
        <v>5</v>
      </c>
      <c r="G263" s="4" t="s">
        <v>5</v>
      </c>
      <c r="H263" s="4" t="s">
        <v>5</v>
      </c>
      <c r="I263" s="37">
        <f>SUM(I264:I264)</f>
        <v>0</v>
      </c>
      <c r="J263" s="37">
        <f>SUM(J264:J264)</f>
        <v>0</v>
      </c>
      <c r="K263" s="37">
        <f>SUM(K264:K264)</f>
        <v>0</v>
      </c>
      <c r="L263" s="28"/>
      <c r="AI263" s="28" t="s">
        <v>1020</v>
      </c>
      <c r="AS263" s="37">
        <f>SUM(AJ264:AJ264)</f>
        <v>0</v>
      </c>
      <c r="AT263" s="37">
        <f>SUM(AK264:AK264)</f>
        <v>0</v>
      </c>
      <c r="AU263" s="37">
        <f>SUM(AL264:AL264)</f>
        <v>0</v>
      </c>
    </row>
    <row r="264" spans="1:62" ht="12.75">
      <c r="A264" s="5" t="s">
        <v>112</v>
      </c>
      <c r="B264" s="5" t="s">
        <v>431</v>
      </c>
      <c r="C264" s="99" t="s">
        <v>746</v>
      </c>
      <c r="D264" s="100"/>
      <c r="E264" s="100"/>
      <c r="F264" s="5" t="s">
        <v>987</v>
      </c>
      <c r="G264" s="63">
        <v>37.791</v>
      </c>
      <c r="H264" s="18">
        <v>0</v>
      </c>
      <c r="I264" s="18">
        <f>G264*AO264</f>
        <v>0</v>
      </c>
      <c r="J264" s="18">
        <f>G264*AP264</f>
        <v>0</v>
      </c>
      <c r="K264" s="18">
        <f>G264*H264</f>
        <v>0</v>
      </c>
      <c r="L264" s="29"/>
      <c r="Z264" s="34">
        <f>IF(AQ264="5",BJ264,0)</f>
        <v>0</v>
      </c>
      <c r="AB264" s="34">
        <f>IF(AQ264="1",BH264,0)</f>
        <v>0</v>
      </c>
      <c r="AC264" s="34">
        <f>IF(AQ264="1",BI264,0)</f>
        <v>0</v>
      </c>
      <c r="AD264" s="34">
        <f>IF(AQ264="7",BH264,0)</f>
        <v>0</v>
      </c>
      <c r="AE264" s="34">
        <f>IF(AQ264="7",BI264,0)</f>
        <v>0</v>
      </c>
      <c r="AF264" s="34">
        <f>IF(AQ264="2",BH264,0)</f>
        <v>0</v>
      </c>
      <c r="AG264" s="34">
        <f>IF(AQ264="2",BI264,0)</f>
        <v>0</v>
      </c>
      <c r="AH264" s="34">
        <f>IF(AQ264="0",BJ264,0)</f>
        <v>0</v>
      </c>
      <c r="AI264" s="28" t="s">
        <v>1020</v>
      </c>
      <c r="AJ264" s="18">
        <f>IF(AN264=0,K264,0)</f>
        <v>0</v>
      </c>
      <c r="AK264" s="18">
        <f>IF(AN264=15,K264,0)</f>
        <v>0</v>
      </c>
      <c r="AL264" s="18">
        <f>IF(AN264=21,K264,0)</f>
        <v>0</v>
      </c>
      <c r="AN264" s="34">
        <v>21</v>
      </c>
      <c r="AO264" s="34">
        <f>H264*0</f>
        <v>0</v>
      </c>
      <c r="AP264" s="34">
        <f>H264*(1-0)</f>
        <v>0</v>
      </c>
      <c r="AQ264" s="29" t="s">
        <v>10</v>
      </c>
      <c r="AV264" s="34">
        <f>AW264+AX264</f>
        <v>0</v>
      </c>
      <c r="AW264" s="34">
        <f>G264*AO264</f>
        <v>0</v>
      </c>
      <c r="AX264" s="34">
        <f>G264*AP264</f>
        <v>0</v>
      </c>
      <c r="AY264" s="35" t="s">
        <v>1048</v>
      </c>
      <c r="AZ264" s="35" t="s">
        <v>1070</v>
      </c>
      <c r="BA264" s="28" t="s">
        <v>1085</v>
      </c>
      <c r="BC264" s="34">
        <f>AW264+AX264</f>
        <v>0</v>
      </c>
      <c r="BD264" s="34">
        <f>H264/(100-BE264)*100</f>
        <v>0</v>
      </c>
      <c r="BE264" s="34">
        <v>0</v>
      </c>
      <c r="BF264" s="34">
        <f>264</f>
        <v>264</v>
      </c>
      <c r="BH264" s="18">
        <f>G264*AO264</f>
        <v>0</v>
      </c>
      <c r="BI264" s="18">
        <f>G264*AP264</f>
        <v>0</v>
      </c>
      <c r="BJ264" s="18">
        <f>G264*H264</f>
        <v>0</v>
      </c>
    </row>
    <row r="265" spans="3:7" ht="12.75">
      <c r="C265" s="101" t="s">
        <v>747</v>
      </c>
      <c r="D265" s="102"/>
      <c r="E265" s="102"/>
      <c r="G265" s="64">
        <v>37.791</v>
      </c>
    </row>
    <row r="266" spans="1:47" ht="12.75">
      <c r="A266" s="4"/>
      <c r="B266" s="14" t="s">
        <v>432</v>
      </c>
      <c r="C266" s="97" t="s">
        <v>748</v>
      </c>
      <c r="D266" s="98"/>
      <c r="E266" s="98"/>
      <c r="F266" s="4" t="s">
        <v>5</v>
      </c>
      <c r="G266" s="4" t="s">
        <v>5</v>
      </c>
      <c r="H266" s="4" t="s">
        <v>5</v>
      </c>
      <c r="I266" s="37">
        <f>SUM(I267:I295)</f>
        <v>0</v>
      </c>
      <c r="J266" s="37">
        <f>SUM(J267:J295)</f>
        <v>0</v>
      </c>
      <c r="K266" s="37">
        <f>SUM(K267:K295)</f>
        <v>0</v>
      </c>
      <c r="L266" s="28"/>
      <c r="AI266" s="28" t="s">
        <v>1020</v>
      </c>
      <c r="AS266" s="37">
        <f>SUM(AJ267:AJ295)</f>
        <v>0</v>
      </c>
      <c r="AT266" s="37">
        <f>SUM(AK267:AK295)</f>
        <v>0</v>
      </c>
      <c r="AU266" s="37">
        <f>SUM(AL267:AL295)</f>
        <v>0</v>
      </c>
    </row>
    <row r="267" spans="1:62" ht="12.75">
      <c r="A267" s="5" t="s">
        <v>113</v>
      </c>
      <c r="B267" s="5" t="s">
        <v>433</v>
      </c>
      <c r="C267" s="99" t="s">
        <v>749</v>
      </c>
      <c r="D267" s="100"/>
      <c r="E267" s="100"/>
      <c r="F267" s="5" t="s">
        <v>986</v>
      </c>
      <c r="G267" s="63">
        <v>20</v>
      </c>
      <c r="H267" s="18">
        <v>0</v>
      </c>
      <c r="I267" s="18">
        <f>G267*AO267</f>
        <v>0</v>
      </c>
      <c r="J267" s="18">
        <f>G267*AP267</f>
        <v>0</v>
      </c>
      <c r="K267" s="18">
        <f>G267*H267</f>
        <v>0</v>
      </c>
      <c r="L267" s="29"/>
      <c r="Z267" s="34">
        <f>IF(AQ267="5",BJ267,0)</f>
        <v>0</v>
      </c>
      <c r="AB267" s="34">
        <f>IF(AQ267="1",BH267,0)</f>
        <v>0</v>
      </c>
      <c r="AC267" s="34">
        <f>IF(AQ267="1",BI267,0)</f>
        <v>0</v>
      </c>
      <c r="AD267" s="34">
        <f>IF(AQ267="7",BH267,0)</f>
        <v>0</v>
      </c>
      <c r="AE267" s="34">
        <f>IF(AQ267="7",BI267,0)</f>
        <v>0</v>
      </c>
      <c r="AF267" s="34">
        <f>IF(AQ267="2",BH267,0)</f>
        <v>0</v>
      </c>
      <c r="AG267" s="34">
        <f>IF(AQ267="2",BI267,0)</f>
        <v>0</v>
      </c>
      <c r="AH267" s="34">
        <f>IF(AQ267="0",BJ267,0)</f>
        <v>0</v>
      </c>
      <c r="AI267" s="28" t="s">
        <v>1020</v>
      </c>
      <c r="AJ267" s="18">
        <f>IF(AN267=0,K267,0)</f>
        <v>0</v>
      </c>
      <c r="AK267" s="18">
        <f>IF(AN267=15,K267,0)</f>
        <v>0</v>
      </c>
      <c r="AL267" s="18">
        <f>IF(AN267=21,K267,0)</f>
        <v>0</v>
      </c>
      <c r="AN267" s="34">
        <v>21</v>
      </c>
      <c r="AO267" s="34">
        <f>H267*0.32025</f>
        <v>0</v>
      </c>
      <c r="AP267" s="34">
        <f>H267*(1-0.32025)</f>
        <v>0</v>
      </c>
      <c r="AQ267" s="29" t="s">
        <v>7</v>
      </c>
      <c r="AV267" s="34">
        <f>AW267+AX267</f>
        <v>0</v>
      </c>
      <c r="AW267" s="34">
        <f>G267*AO267</f>
        <v>0</v>
      </c>
      <c r="AX267" s="34">
        <f>G267*AP267</f>
        <v>0</v>
      </c>
      <c r="AY267" s="35" t="s">
        <v>1049</v>
      </c>
      <c r="AZ267" s="35" t="s">
        <v>1070</v>
      </c>
      <c r="BA267" s="28" t="s">
        <v>1085</v>
      </c>
      <c r="BC267" s="34">
        <f>AW267+AX267</f>
        <v>0</v>
      </c>
      <c r="BD267" s="34">
        <f>H267/(100-BE267)*100</f>
        <v>0</v>
      </c>
      <c r="BE267" s="34">
        <v>0</v>
      </c>
      <c r="BF267" s="34">
        <f>267</f>
        <v>267</v>
      </c>
      <c r="BH267" s="18">
        <f>G267*AO267</f>
        <v>0</v>
      </c>
      <c r="BI267" s="18">
        <f>G267*AP267</f>
        <v>0</v>
      </c>
      <c r="BJ267" s="18">
        <f>G267*H267</f>
        <v>0</v>
      </c>
    </row>
    <row r="268" spans="3:7" ht="12.75">
      <c r="C268" s="101" t="s">
        <v>25</v>
      </c>
      <c r="D268" s="102"/>
      <c r="E268" s="102"/>
      <c r="G268" s="64">
        <v>20</v>
      </c>
    </row>
    <row r="269" spans="1:62" ht="12.75">
      <c r="A269" s="5" t="s">
        <v>114</v>
      </c>
      <c r="B269" s="5" t="s">
        <v>434</v>
      </c>
      <c r="C269" s="99" t="s">
        <v>750</v>
      </c>
      <c r="D269" s="100"/>
      <c r="E269" s="100"/>
      <c r="F269" s="5" t="s">
        <v>986</v>
      </c>
      <c r="G269" s="63">
        <v>15</v>
      </c>
      <c r="H269" s="18">
        <v>0</v>
      </c>
      <c r="I269" s="18">
        <f>G269*AO269</f>
        <v>0</v>
      </c>
      <c r="J269" s="18">
        <f>G269*AP269</f>
        <v>0</v>
      </c>
      <c r="K269" s="18">
        <f>G269*H269</f>
        <v>0</v>
      </c>
      <c r="L269" s="29"/>
      <c r="Z269" s="34">
        <f>IF(AQ269="5",BJ269,0)</f>
        <v>0</v>
      </c>
      <c r="AB269" s="34">
        <f>IF(AQ269="1",BH269,0)</f>
        <v>0</v>
      </c>
      <c r="AC269" s="34">
        <f>IF(AQ269="1",BI269,0)</f>
        <v>0</v>
      </c>
      <c r="AD269" s="34">
        <f>IF(AQ269="7",BH269,0)</f>
        <v>0</v>
      </c>
      <c r="AE269" s="34">
        <f>IF(AQ269="7",BI269,0)</f>
        <v>0</v>
      </c>
      <c r="AF269" s="34">
        <f>IF(AQ269="2",BH269,0)</f>
        <v>0</v>
      </c>
      <c r="AG269" s="34">
        <f>IF(AQ269="2",BI269,0)</f>
        <v>0</v>
      </c>
      <c r="AH269" s="34">
        <f>IF(AQ269="0",BJ269,0)</f>
        <v>0</v>
      </c>
      <c r="AI269" s="28" t="s">
        <v>1020</v>
      </c>
      <c r="AJ269" s="18">
        <f>IF(AN269=0,K269,0)</f>
        <v>0</v>
      </c>
      <c r="AK269" s="18">
        <f>IF(AN269=15,K269,0)</f>
        <v>0</v>
      </c>
      <c r="AL269" s="18">
        <f>IF(AN269=21,K269,0)</f>
        <v>0</v>
      </c>
      <c r="AN269" s="34">
        <v>21</v>
      </c>
      <c r="AO269" s="34">
        <f>H269*0.499780821917808</f>
        <v>0</v>
      </c>
      <c r="AP269" s="34">
        <f>H269*(1-0.499780821917808)</f>
        <v>0</v>
      </c>
      <c r="AQ269" s="29" t="s">
        <v>7</v>
      </c>
      <c r="AV269" s="34">
        <f>AW269+AX269</f>
        <v>0</v>
      </c>
      <c r="AW269" s="34">
        <f>G269*AO269</f>
        <v>0</v>
      </c>
      <c r="AX269" s="34">
        <f>G269*AP269</f>
        <v>0</v>
      </c>
      <c r="AY269" s="35" t="s">
        <v>1049</v>
      </c>
      <c r="AZ269" s="35" t="s">
        <v>1070</v>
      </c>
      <c r="BA269" s="28" t="s">
        <v>1085</v>
      </c>
      <c r="BC269" s="34">
        <f>AW269+AX269</f>
        <v>0</v>
      </c>
      <c r="BD269" s="34">
        <f>H269/(100-BE269)*100</f>
        <v>0</v>
      </c>
      <c r="BE269" s="34">
        <v>0</v>
      </c>
      <c r="BF269" s="34">
        <f>269</f>
        <v>269</v>
      </c>
      <c r="BH269" s="18">
        <f>G269*AO269</f>
        <v>0</v>
      </c>
      <c r="BI269" s="18">
        <f>G269*AP269</f>
        <v>0</v>
      </c>
      <c r="BJ269" s="18">
        <f>G269*H269</f>
        <v>0</v>
      </c>
    </row>
    <row r="270" spans="3:7" ht="12.75">
      <c r="C270" s="101" t="s">
        <v>20</v>
      </c>
      <c r="D270" s="102"/>
      <c r="E270" s="102"/>
      <c r="G270" s="64">
        <v>15</v>
      </c>
    </row>
    <row r="271" spans="1:62" ht="12.75">
      <c r="A271" s="5" t="s">
        <v>115</v>
      </c>
      <c r="B271" s="5" t="s">
        <v>435</v>
      </c>
      <c r="C271" s="99" t="s">
        <v>751</v>
      </c>
      <c r="D271" s="100"/>
      <c r="E271" s="100"/>
      <c r="F271" s="5" t="s">
        <v>986</v>
      </c>
      <c r="G271" s="63">
        <v>75</v>
      </c>
      <c r="H271" s="18">
        <v>0</v>
      </c>
      <c r="I271" s="18">
        <f>G271*AO271</f>
        <v>0</v>
      </c>
      <c r="J271" s="18">
        <f>G271*AP271</f>
        <v>0</v>
      </c>
      <c r="K271" s="18">
        <f>G271*H271</f>
        <v>0</v>
      </c>
      <c r="L271" s="29"/>
      <c r="Z271" s="34">
        <f>IF(AQ271="5",BJ271,0)</f>
        <v>0</v>
      </c>
      <c r="AB271" s="34">
        <f>IF(AQ271="1",BH271,0)</f>
        <v>0</v>
      </c>
      <c r="AC271" s="34">
        <f>IF(AQ271="1",BI271,0)</f>
        <v>0</v>
      </c>
      <c r="AD271" s="34">
        <f>IF(AQ271="7",BH271,0)</f>
        <v>0</v>
      </c>
      <c r="AE271" s="34">
        <f>IF(AQ271="7",BI271,0)</f>
        <v>0</v>
      </c>
      <c r="AF271" s="34">
        <f>IF(AQ271="2",BH271,0)</f>
        <v>0</v>
      </c>
      <c r="AG271" s="34">
        <f>IF(AQ271="2",BI271,0)</f>
        <v>0</v>
      </c>
      <c r="AH271" s="34">
        <f>IF(AQ271="0",BJ271,0)</f>
        <v>0</v>
      </c>
      <c r="AI271" s="28" t="s">
        <v>1020</v>
      </c>
      <c r="AJ271" s="18">
        <f>IF(AN271=0,K271,0)</f>
        <v>0</v>
      </c>
      <c r="AK271" s="18">
        <f>IF(AN271=15,K271,0)</f>
        <v>0</v>
      </c>
      <c r="AL271" s="18">
        <f>IF(AN271=21,K271,0)</f>
        <v>0</v>
      </c>
      <c r="AN271" s="34">
        <v>21</v>
      </c>
      <c r="AO271" s="34">
        <f>H271*0.356243213897937</f>
        <v>0</v>
      </c>
      <c r="AP271" s="34">
        <f>H271*(1-0.356243213897937)</f>
        <v>0</v>
      </c>
      <c r="AQ271" s="29" t="s">
        <v>7</v>
      </c>
      <c r="AV271" s="34">
        <f>AW271+AX271</f>
        <v>0</v>
      </c>
      <c r="AW271" s="34">
        <f>G271*AO271</f>
        <v>0</v>
      </c>
      <c r="AX271" s="34">
        <f>G271*AP271</f>
        <v>0</v>
      </c>
      <c r="AY271" s="35" t="s">
        <v>1049</v>
      </c>
      <c r="AZ271" s="35" t="s">
        <v>1070</v>
      </c>
      <c r="BA271" s="28" t="s">
        <v>1085</v>
      </c>
      <c r="BC271" s="34">
        <f>AW271+AX271</f>
        <v>0</v>
      </c>
      <c r="BD271" s="34">
        <f>H271/(100-BE271)*100</f>
        <v>0</v>
      </c>
      <c r="BE271" s="34">
        <v>0</v>
      </c>
      <c r="BF271" s="34">
        <f>271</f>
        <v>271</v>
      </c>
      <c r="BH271" s="18">
        <f>G271*AO271</f>
        <v>0</v>
      </c>
      <c r="BI271" s="18">
        <f>G271*AP271</f>
        <v>0</v>
      </c>
      <c r="BJ271" s="18">
        <f>G271*H271</f>
        <v>0</v>
      </c>
    </row>
    <row r="272" spans="3:7" ht="12.75">
      <c r="C272" s="101" t="s">
        <v>80</v>
      </c>
      <c r="D272" s="102"/>
      <c r="E272" s="102"/>
      <c r="G272" s="64">
        <v>75</v>
      </c>
    </row>
    <row r="273" spans="1:62" ht="12.75">
      <c r="A273" s="5" t="s">
        <v>116</v>
      </c>
      <c r="B273" s="5" t="s">
        <v>436</v>
      </c>
      <c r="C273" s="99" t="s">
        <v>752</v>
      </c>
      <c r="D273" s="100"/>
      <c r="E273" s="100"/>
      <c r="F273" s="5" t="s">
        <v>986</v>
      </c>
      <c r="G273" s="63">
        <v>20</v>
      </c>
      <c r="H273" s="18">
        <v>0</v>
      </c>
      <c r="I273" s="18">
        <f>G273*AO273</f>
        <v>0</v>
      </c>
      <c r="J273" s="18">
        <f>G273*AP273</f>
        <v>0</v>
      </c>
      <c r="K273" s="18">
        <f>G273*H273</f>
        <v>0</v>
      </c>
      <c r="L273" s="29"/>
      <c r="Z273" s="34">
        <f>IF(AQ273="5",BJ273,0)</f>
        <v>0</v>
      </c>
      <c r="AB273" s="34">
        <f>IF(AQ273="1",BH273,0)</f>
        <v>0</v>
      </c>
      <c r="AC273" s="34">
        <f>IF(AQ273="1",BI273,0)</f>
        <v>0</v>
      </c>
      <c r="AD273" s="34">
        <f>IF(AQ273="7",BH273,0)</f>
        <v>0</v>
      </c>
      <c r="AE273" s="34">
        <f>IF(AQ273="7",BI273,0)</f>
        <v>0</v>
      </c>
      <c r="AF273" s="34">
        <f>IF(AQ273="2",BH273,0)</f>
        <v>0</v>
      </c>
      <c r="AG273" s="34">
        <f>IF(AQ273="2",BI273,0)</f>
        <v>0</v>
      </c>
      <c r="AH273" s="34">
        <f>IF(AQ273="0",BJ273,0)</f>
        <v>0</v>
      </c>
      <c r="AI273" s="28" t="s">
        <v>1020</v>
      </c>
      <c r="AJ273" s="18">
        <f>IF(AN273=0,K273,0)</f>
        <v>0</v>
      </c>
      <c r="AK273" s="18">
        <f>IF(AN273=15,K273,0)</f>
        <v>0</v>
      </c>
      <c r="AL273" s="18">
        <f>IF(AN273=21,K273,0)</f>
        <v>0</v>
      </c>
      <c r="AN273" s="34">
        <v>21</v>
      </c>
      <c r="AO273" s="34">
        <f>H273*0.0791902109841864</f>
        <v>0</v>
      </c>
      <c r="AP273" s="34">
        <f>H273*(1-0.0791902109841864)</f>
        <v>0</v>
      </c>
      <c r="AQ273" s="29" t="s">
        <v>7</v>
      </c>
      <c r="AV273" s="34">
        <f>AW273+AX273</f>
        <v>0</v>
      </c>
      <c r="AW273" s="34">
        <f>G273*AO273</f>
        <v>0</v>
      </c>
      <c r="AX273" s="34">
        <f>G273*AP273</f>
        <v>0</v>
      </c>
      <c r="AY273" s="35" t="s">
        <v>1049</v>
      </c>
      <c r="AZ273" s="35" t="s">
        <v>1070</v>
      </c>
      <c r="BA273" s="28" t="s">
        <v>1085</v>
      </c>
      <c r="BC273" s="34">
        <f>AW273+AX273</f>
        <v>0</v>
      </c>
      <c r="BD273" s="34">
        <f>H273/(100-BE273)*100</f>
        <v>0</v>
      </c>
      <c r="BE273" s="34">
        <v>0</v>
      </c>
      <c r="BF273" s="34">
        <f>273</f>
        <v>273</v>
      </c>
      <c r="BH273" s="18">
        <f>G273*AO273</f>
        <v>0</v>
      </c>
      <c r="BI273" s="18">
        <f>G273*AP273</f>
        <v>0</v>
      </c>
      <c r="BJ273" s="18">
        <f>G273*H273</f>
        <v>0</v>
      </c>
    </row>
    <row r="274" spans="3:7" ht="12.75">
      <c r="C274" s="101" t="s">
        <v>25</v>
      </c>
      <c r="D274" s="102"/>
      <c r="E274" s="102"/>
      <c r="G274" s="64">
        <v>20</v>
      </c>
    </row>
    <row r="275" spans="1:62" ht="12.75">
      <c r="A275" s="5" t="s">
        <v>117</v>
      </c>
      <c r="B275" s="5" t="s">
        <v>437</v>
      </c>
      <c r="C275" s="99" t="s">
        <v>753</v>
      </c>
      <c r="D275" s="100"/>
      <c r="E275" s="100"/>
      <c r="F275" s="5" t="s">
        <v>986</v>
      </c>
      <c r="G275" s="63">
        <v>50</v>
      </c>
      <c r="H275" s="18">
        <v>0</v>
      </c>
      <c r="I275" s="18">
        <f>G275*AO275</f>
        <v>0</v>
      </c>
      <c r="J275" s="18">
        <f>G275*AP275</f>
        <v>0</v>
      </c>
      <c r="K275" s="18">
        <f>G275*H275</f>
        <v>0</v>
      </c>
      <c r="L275" s="29"/>
      <c r="Z275" s="34">
        <f>IF(AQ275="5",BJ275,0)</f>
        <v>0</v>
      </c>
      <c r="AB275" s="34">
        <f>IF(AQ275="1",BH275,0)</f>
        <v>0</v>
      </c>
      <c r="AC275" s="34">
        <f>IF(AQ275="1",BI275,0)</f>
        <v>0</v>
      </c>
      <c r="AD275" s="34">
        <f>IF(AQ275="7",BH275,0)</f>
        <v>0</v>
      </c>
      <c r="AE275" s="34">
        <f>IF(AQ275="7",BI275,0)</f>
        <v>0</v>
      </c>
      <c r="AF275" s="34">
        <f>IF(AQ275="2",BH275,0)</f>
        <v>0</v>
      </c>
      <c r="AG275" s="34">
        <f>IF(AQ275="2",BI275,0)</f>
        <v>0</v>
      </c>
      <c r="AH275" s="34">
        <f>IF(AQ275="0",BJ275,0)</f>
        <v>0</v>
      </c>
      <c r="AI275" s="28" t="s">
        <v>1020</v>
      </c>
      <c r="AJ275" s="18">
        <f>IF(AN275=0,K275,0)</f>
        <v>0</v>
      </c>
      <c r="AK275" s="18">
        <f>IF(AN275=15,K275,0)</f>
        <v>0</v>
      </c>
      <c r="AL275" s="18">
        <f>IF(AN275=21,K275,0)</f>
        <v>0</v>
      </c>
      <c r="AN275" s="34">
        <v>21</v>
      </c>
      <c r="AO275" s="34">
        <f>H275*0.242382688384227</f>
        <v>0</v>
      </c>
      <c r="AP275" s="34">
        <f>H275*(1-0.242382688384227)</f>
        <v>0</v>
      </c>
      <c r="AQ275" s="29" t="s">
        <v>7</v>
      </c>
      <c r="AV275" s="34">
        <f>AW275+AX275</f>
        <v>0</v>
      </c>
      <c r="AW275" s="34">
        <f>G275*AO275</f>
        <v>0</v>
      </c>
      <c r="AX275" s="34">
        <f>G275*AP275</f>
        <v>0</v>
      </c>
      <c r="AY275" s="35" t="s">
        <v>1049</v>
      </c>
      <c r="AZ275" s="35" t="s">
        <v>1070</v>
      </c>
      <c r="BA275" s="28" t="s">
        <v>1085</v>
      </c>
      <c r="BC275" s="34">
        <f>AW275+AX275</f>
        <v>0</v>
      </c>
      <c r="BD275" s="34">
        <f>H275/(100-BE275)*100</f>
        <v>0</v>
      </c>
      <c r="BE275" s="34">
        <v>0</v>
      </c>
      <c r="BF275" s="34">
        <f>275</f>
        <v>275</v>
      </c>
      <c r="BH275" s="18">
        <f>G275*AO275</f>
        <v>0</v>
      </c>
      <c r="BI275" s="18">
        <f>G275*AP275</f>
        <v>0</v>
      </c>
      <c r="BJ275" s="18">
        <f>G275*H275</f>
        <v>0</v>
      </c>
    </row>
    <row r="276" spans="3:7" ht="12.75">
      <c r="C276" s="101" t="s">
        <v>55</v>
      </c>
      <c r="D276" s="102"/>
      <c r="E276" s="102"/>
      <c r="G276" s="64">
        <v>50</v>
      </c>
    </row>
    <row r="277" spans="1:62" ht="12.75">
      <c r="A277" s="5" t="s">
        <v>118</v>
      </c>
      <c r="B277" s="5" t="s">
        <v>438</v>
      </c>
      <c r="C277" s="99" t="s">
        <v>754</v>
      </c>
      <c r="D277" s="100"/>
      <c r="E277" s="100"/>
      <c r="F277" s="5" t="s">
        <v>988</v>
      </c>
      <c r="G277" s="63">
        <v>4</v>
      </c>
      <c r="H277" s="18">
        <v>0</v>
      </c>
      <c r="I277" s="18">
        <f>G277*AO277</f>
        <v>0</v>
      </c>
      <c r="J277" s="18">
        <f>G277*AP277</f>
        <v>0</v>
      </c>
      <c r="K277" s="18">
        <f>G277*H277</f>
        <v>0</v>
      </c>
      <c r="L277" s="29"/>
      <c r="Z277" s="34">
        <f>IF(AQ277="5",BJ277,0)</f>
        <v>0</v>
      </c>
      <c r="AB277" s="34">
        <f>IF(AQ277="1",BH277,0)</f>
        <v>0</v>
      </c>
      <c r="AC277" s="34">
        <f>IF(AQ277="1",BI277,0)</f>
        <v>0</v>
      </c>
      <c r="AD277" s="34">
        <f>IF(AQ277="7",BH277,0)</f>
        <v>0</v>
      </c>
      <c r="AE277" s="34">
        <f>IF(AQ277="7",BI277,0)</f>
        <v>0</v>
      </c>
      <c r="AF277" s="34">
        <f>IF(AQ277="2",BH277,0)</f>
        <v>0</v>
      </c>
      <c r="AG277" s="34">
        <f>IF(AQ277="2",BI277,0)</f>
        <v>0</v>
      </c>
      <c r="AH277" s="34">
        <f>IF(AQ277="0",BJ277,0)</f>
        <v>0</v>
      </c>
      <c r="AI277" s="28" t="s">
        <v>1020</v>
      </c>
      <c r="AJ277" s="18">
        <f>IF(AN277=0,K277,0)</f>
        <v>0</v>
      </c>
      <c r="AK277" s="18">
        <f>IF(AN277=15,K277,0)</f>
        <v>0</v>
      </c>
      <c r="AL277" s="18">
        <f>IF(AN277=21,K277,0)</f>
        <v>0</v>
      </c>
      <c r="AN277" s="34">
        <v>21</v>
      </c>
      <c r="AO277" s="34">
        <f>H277*0.201720430107527</f>
        <v>0</v>
      </c>
      <c r="AP277" s="34">
        <f>H277*(1-0.201720430107527)</f>
        <v>0</v>
      </c>
      <c r="AQ277" s="29" t="s">
        <v>7</v>
      </c>
      <c r="AV277" s="34">
        <f>AW277+AX277</f>
        <v>0</v>
      </c>
      <c r="AW277" s="34">
        <f>G277*AO277</f>
        <v>0</v>
      </c>
      <c r="AX277" s="34">
        <f>G277*AP277</f>
        <v>0</v>
      </c>
      <c r="AY277" s="35" t="s">
        <v>1049</v>
      </c>
      <c r="AZ277" s="35" t="s">
        <v>1070</v>
      </c>
      <c r="BA277" s="28" t="s">
        <v>1085</v>
      </c>
      <c r="BC277" s="34">
        <f>AW277+AX277</f>
        <v>0</v>
      </c>
      <c r="BD277" s="34">
        <f>H277/(100-BE277)*100</f>
        <v>0</v>
      </c>
      <c r="BE277" s="34">
        <v>0</v>
      </c>
      <c r="BF277" s="34">
        <f>277</f>
        <v>277</v>
      </c>
      <c r="BH277" s="18">
        <f>G277*AO277</f>
        <v>0</v>
      </c>
      <c r="BI277" s="18">
        <f>G277*AP277</f>
        <v>0</v>
      </c>
      <c r="BJ277" s="18">
        <f>G277*H277</f>
        <v>0</v>
      </c>
    </row>
    <row r="278" spans="3:7" ht="12.75">
      <c r="C278" s="101" t="s">
        <v>9</v>
      </c>
      <c r="D278" s="102"/>
      <c r="E278" s="102"/>
      <c r="G278" s="64">
        <v>4</v>
      </c>
    </row>
    <row r="279" spans="1:62" ht="12.75">
      <c r="A279" s="5" t="s">
        <v>119</v>
      </c>
      <c r="B279" s="5" t="s">
        <v>439</v>
      </c>
      <c r="C279" s="99" t="s">
        <v>755</v>
      </c>
      <c r="D279" s="100"/>
      <c r="E279" s="100"/>
      <c r="F279" s="5" t="s">
        <v>988</v>
      </c>
      <c r="G279" s="63">
        <v>35</v>
      </c>
      <c r="H279" s="18">
        <v>0</v>
      </c>
      <c r="I279" s="18">
        <f>G279*AO279</f>
        <v>0</v>
      </c>
      <c r="J279" s="18">
        <f>G279*AP279</f>
        <v>0</v>
      </c>
      <c r="K279" s="18">
        <f>G279*H279</f>
        <v>0</v>
      </c>
      <c r="L279" s="29"/>
      <c r="Z279" s="34">
        <f>IF(AQ279="5",BJ279,0)</f>
        <v>0</v>
      </c>
      <c r="AB279" s="34">
        <f>IF(AQ279="1",BH279,0)</f>
        <v>0</v>
      </c>
      <c r="AC279" s="34">
        <f>IF(AQ279="1",BI279,0)</f>
        <v>0</v>
      </c>
      <c r="AD279" s="34">
        <f>IF(AQ279="7",BH279,0)</f>
        <v>0</v>
      </c>
      <c r="AE279" s="34">
        <f>IF(AQ279="7",BI279,0)</f>
        <v>0</v>
      </c>
      <c r="AF279" s="34">
        <f>IF(AQ279="2",BH279,0)</f>
        <v>0</v>
      </c>
      <c r="AG279" s="34">
        <f>IF(AQ279="2",BI279,0)</f>
        <v>0</v>
      </c>
      <c r="AH279" s="34">
        <f>IF(AQ279="0",BJ279,0)</f>
        <v>0</v>
      </c>
      <c r="AI279" s="28" t="s">
        <v>1020</v>
      </c>
      <c r="AJ279" s="18">
        <f>IF(AN279=0,K279,0)</f>
        <v>0</v>
      </c>
      <c r="AK279" s="18">
        <f>IF(AN279=15,K279,0)</f>
        <v>0</v>
      </c>
      <c r="AL279" s="18">
        <f>IF(AN279=21,K279,0)</f>
        <v>0</v>
      </c>
      <c r="AN279" s="34">
        <v>21</v>
      </c>
      <c r="AO279" s="34">
        <f>H279*0.0767634854771784</f>
        <v>0</v>
      </c>
      <c r="AP279" s="34">
        <f>H279*(1-0.0767634854771784)</f>
        <v>0</v>
      </c>
      <c r="AQ279" s="29" t="s">
        <v>7</v>
      </c>
      <c r="AV279" s="34">
        <f>AW279+AX279</f>
        <v>0</v>
      </c>
      <c r="AW279" s="34">
        <f>G279*AO279</f>
        <v>0</v>
      </c>
      <c r="AX279" s="34">
        <f>G279*AP279</f>
        <v>0</v>
      </c>
      <c r="AY279" s="35" t="s">
        <v>1049</v>
      </c>
      <c r="AZ279" s="35" t="s">
        <v>1070</v>
      </c>
      <c r="BA279" s="28" t="s">
        <v>1085</v>
      </c>
      <c r="BC279" s="34">
        <f>AW279+AX279</f>
        <v>0</v>
      </c>
      <c r="BD279" s="34">
        <f>H279/(100-BE279)*100</f>
        <v>0</v>
      </c>
      <c r="BE279" s="34">
        <v>0</v>
      </c>
      <c r="BF279" s="34">
        <f>279</f>
        <v>279</v>
      </c>
      <c r="BH279" s="18">
        <f>G279*AO279</f>
        <v>0</v>
      </c>
      <c r="BI279" s="18">
        <f>G279*AP279</f>
        <v>0</v>
      </c>
      <c r="BJ279" s="18">
        <f>G279*H279</f>
        <v>0</v>
      </c>
    </row>
    <row r="280" spans="3:7" ht="12.75">
      <c r="C280" s="101" t="s">
        <v>40</v>
      </c>
      <c r="D280" s="102"/>
      <c r="E280" s="102"/>
      <c r="G280" s="64">
        <v>35</v>
      </c>
    </row>
    <row r="281" spans="1:62" ht="12.75">
      <c r="A281" s="5" t="s">
        <v>120</v>
      </c>
      <c r="B281" s="5" t="s">
        <v>440</v>
      </c>
      <c r="C281" s="99" t="s">
        <v>756</v>
      </c>
      <c r="D281" s="100"/>
      <c r="E281" s="100"/>
      <c r="F281" s="5" t="s">
        <v>988</v>
      </c>
      <c r="G281" s="63">
        <v>4</v>
      </c>
      <c r="H281" s="18">
        <v>0</v>
      </c>
      <c r="I281" s="18">
        <f>G281*AO281</f>
        <v>0</v>
      </c>
      <c r="J281" s="18">
        <f>G281*AP281</f>
        <v>0</v>
      </c>
      <c r="K281" s="18">
        <f>G281*H281</f>
        <v>0</v>
      </c>
      <c r="L281" s="29"/>
      <c r="Z281" s="34">
        <f>IF(AQ281="5",BJ281,0)</f>
        <v>0</v>
      </c>
      <c r="AB281" s="34">
        <f>IF(AQ281="1",BH281,0)</f>
        <v>0</v>
      </c>
      <c r="AC281" s="34">
        <f>IF(AQ281="1",BI281,0)</f>
        <v>0</v>
      </c>
      <c r="AD281" s="34">
        <f>IF(AQ281="7",BH281,0)</f>
        <v>0</v>
      </c>
      <c r="AE281" s="34">
        <f>IF(AQ281="7",BI281,0)</f>
        <v>0</v>
      </c>
      <c r="AF281" s="34">
        <f>IF(AQ281="2",BH281,0)</f>
        <v>0</v>
      </c>
      <c r="AG281" s="34">
        <f>IF(AQ281="2",BI281,0)</f>
        <v>0</v>
      </c>
      <c r="AH281" s="34">
        <f>IF(AQ281="0",BJ281,0)</f>
        <v>0</v>
      </c>
      <c r="AI281" s="28" t="s">
        <v>1020</v>
      </c>
      <c r="AJ281" s="18">
        <f>IF(AN281=0,K281,0)</f>
        <v>0</v>
      </c>
      <c r="AK281" s="18">
        <f>IF(AN281=15,K281,0)</f>
        <v>0</v>
      </c>
      <c r="AL281" s="18">
        <f>IF(AN281=21,K281,0)</f>
        <v>0</v>
      </c>
      <c r="AN281" s="34">
        <v>21</v>
      </c>
      <c r="AO281" s="34">
        <f>H281*0.274983713355049</f>
        <v>0</v>
      </c>
      <c r="AP281" s="34">
        <f>H281*(1-0.274983713355049)</f>
        <v>0</v>
      </c>
      <c r="AQ281" s="29" t="s">
        <v>7</v>
      </c>
      <c r="AV281" s="34">
        <f>AW281+AX281</f>
        <v>0</v>
      </c>
      <c r="AW281" s="34">
        <f>G281*AO281</f>
        <v>0</v>
      </c>
      <c r="AX281" s="34">
        <f>G281*AP281</f>
        <v>0</v>
      </c>
      <c r="AY281" s="35" t="s">
        <v>1049</v>
      </c>
      <c r="AZ281" s="35" t="s">
        <v>1070</v>
      </c>
      <c r="BA281" s="28" t="s">
        <v>1085</v>
      </c>
      <c r="BC281" s="34">
        <f>AW281+AX281</f>
        <v>0</v>
      </c>
      <c r="BD281" s="34">
        <f>H281/(100-BE281)*100</f>
        <v>0</v>
      </c>
      <c r="BE281" s="34">
        <v>0</v>
      </c>
      <c r="BF281" s="34">
        <f>281</f>
        <v>281</v>
      </c>
      <c r="BH281" s="18">
        <f>G281*AO281</f>
        <v>0</v>
      </c>
      <c r="BI281" s="18">
        <f>G281*AP281</f>
        <v>0</v>
      </c>
      <c r="BJ281" s="18">
        <f>G281*H281</f>
        <v>0</v>
      </c>
    </row>
    <row r="282" spans="3:7" ht="12.75">
      <c r="C282" s="101" t="s">
        <v>9</v>
      </c>
      <c r="D282" s="102"/>
      <c r="E282" s="102"/>
      <c r="G282" s="64">
        <v>4</v>
      </c>
    </row>
    <row r="283" spans="1:62" ht="12.75">
      <c r="A283" s="5" t="s">
        <v>121</v>
      </c>
      <c r="B283" s="5" t="s">
        <v>441</v>
      </c>
      <c r="C283" s="99" t="s">
        <v>757</v>
      </c>
      <c r="D283" s="100"/>
      <c r="E283" s="100"/>
      <c r="F283" s="5" t="s">
        <v>988</v>
      </c>
      <c r="G283" s="63">
        <v>20</v>
      </c>
      <c r="H283" s="18">
        <v>0</v>
      </c>
      <c r="I283" s="18">
        <f>G283*AO283</f>
        <v>0</v>
      </c>
      <c r="J283" s="18">
        <f>G283*AP283</f>
        <v>0</v>
      </c>
      <c r="K283" s="18">
        <f>G283*H283</f>
        <v>0</v>
      </c>
      <c r="L283" s="29"/>
      <c r="Z283" s="34">
        <f>IF(AQ283="5",BJ283,0)</f>
        <v>0</v>
      </c>
      <c r="AB283" s="34">
        <f>IF(AQ283="1",BH283,0)</f>
        <v>0</v>
      </c>
      <c r="AC283" s="34">
        <f>IF(AQ283="1",BI283,0)</f>
        <v>0</v>
      </c>
      <c r="AD283" s="34">
        <f>IF(AQ283="7",BH283,0)</f>
        <v>0</v>
      </c>
      <c r="AE283" s="34">
        <f>IF(AQ283="7",BI283,0)</f>
        <v>0</v>
      </c>
      <c r="AF283" s="34">
        <f>IF(AQ283="2",BH283,0)</f>
        <v>0</v>
      </c>
      <c r="AG283" s="34">
        <f>IF(AQ283="2",BI283,0)</f>
        <v>0</v>
      </c>
      <c r="AH283" s="34">
        <f>IF(AQ283="0",BJ283,0)</f>
        <v>0</v>
      </c>
      <c r="AI283" s="28" t="s">
        <v>1020</v>
      </c>
      <c r="AJ283" s="18">
        <f>IF(AN283=0,K283,0)</f>
        <v>0</v>
      </c>
      <c r="AK283" s="18">
        <f>IF(AN283=15,K283,0)</f>
        <v>0</v>
      </c>
      <c r="AL283" s="18">
        <f>IF(AN283=21,K283,0)</f>
        <v>0</v>
      </c>
      <c r="AN283" s="34">
        <v>21</v>
      </c>
      <c r="AO283" s="34">
        <f>H283*0.105236768802228</f>
        <v>0</v>
      </c>
      <c r="AP283" s="34">
        <f>H283*(1-0.105236768802228)</f>
        <v>0</v>
      </c>
      <c r="AQ283" s="29" t="s">
        <v>7</v>
      </c>
      <c r="AV283" s="34">
        <f>AW283+AX283</f>
        <v>0</v>
      </c>
      <c r="AW283" s="34">
        <f>G283*AO283</f>
        <v>0</v>
      </c>
      <c r="AX283" s="34">
        <f>G283*AP283</f>
        <v>0</v>
      </c>
      <c r="AY283" s="35" t="s">
        <v>1049</v>
      </c>
      <c r="AZ283" s="35" t="s">
        <v>1070</v>
      </c>
      <c r="BA283" s="28" t="s">
        <v>1085</v>
      </c>
      <c r="BC283" s="34">
        <f>AW283+AX283</f>
        <v>0</v>
      </c>
      <c r="BD283" s="34">
        <f>H283/(100-BE283)*100</f>
        <v>0</v>
      </c>
      <c r="BE283" s="34">
        <v>0</v>
      </c>
      <c r="BF283" s="34">
        <f>283</f>
        <v>283</v>
      </c>
      <c r="BH283" s="18">
        <f>G283*AO283</f>
        <v>0</v>
      </c>
      <c r="BI283" s="18">
        <f>G283*AP283</f>
        <v>0</v>
      </c>
      <c r="BJ283" s="18">
        <f>G283*H283</f>
        <v>0</v>
      </c>
    </row>
    <row r="284" spans="3:7" ht="12.75">
      <c r="C284" s="101" t="s">
        <v>25</v>
      </c>
      <c r="D284" s="102"/>
      <c r="E284" s="102"/>
      <c r="G284" s="64">
        <v>20</v>
      </c>
    </row>
    <row r="285" spans="1:62" ht="12.75">
      <c r="A285" s="5" t="s">
        <v>122</v>
      </c>
      <c r="B285" s="5" t="s">
        <v>442</v>
      </c>
      <c r="C285" s="99" t="s">
        <v>758</v>
      </c>
      <c r="D285" s="100"/>
      <c r="E285" s="100"/>
      <c r="F285" s="5" t="s">
        <v>988</v>
      </c>
      <c r="G285" s="63">
        <v>2</v>
      </c>
      <c r="H285" s="18">
        <v>0</v>
      </c>
      <c r="I285" s="18">
        <f>G285*AO285</f>
        <v>0</v>
      </c>
      <c r="J285" s="18">
        <f>G285*AP285</f>
        <v>0</v>
      </c>
      <c r="K285" s="18">
        <f>G285*H285</f>
        <v>0</v>
      </c>
      <c r="L285" s="29"/>
      <c r="Z285" s="34">
        <f>IF(AQ285="5",BJ285,0)</f>
        <v>0</v>
      </c>
      <c r="AB285" s="34">
        <f>IF(AQ285="1",BH285,0)</f>
        <v>0</v>
      </c>
      <c r="AC285" s="34">
        <f>IF(AQ285="1",BI285,0)</f>
        <v>0</v>
      </c>
      <c r="AD285" s="34">
        <f>IF(AQ285="7",BH285,0)</f>
        <v>0</v>
      </c>
      <c r="AE285" s="34">
        <f>IF(AQ285="7",BI285,0)</f>
        <v>0</v>
      </c>
      <c r="AF285" s="34">
        <f>IF(AQ285="2",BH285,0)</f>
        <v>0</v>
      </c>
      <c r="AG285" s="34">
        <f>IF(AQ285="2",BI285,0)</f>
        <v>0</v>
      </c>
      <c r="AH285" s="34">
        <f>IF(AQ285="0",BJ285,0)</f>
        <v>0</v>
      </c>
      <c r="AI285" s="28" t="s">
        <v>1020</v>
      </c>
      <c r="AJ285" s="18">
        <f>IF(AN285=0,K285,0)</f>
        <v>0</v>
      </c>
      <c r="AK285" s="18">
        <f>IF(AN285=15,K285,0)</f>
        <v>0</v>
      </c>
      <c r="AL285" s="18">
        <f>IF(AN285=21,K285,0)</f>
        <v>0</v>
      </c>
      <c r="AN285" s="34">
        <v>21</v>
      </c>
      <c r="AO285" s="34">
        <f>H285*0.113259668508287</f>
        <v>0</v>
      </c>
      <c r="AP285" s="34">
        <f>H285*(1-0.113259668508287)</f>
        <v>0</v>
      </c>
      <c r="AQ285" s="29" t="s">
        <v>7</v>
      </c>
      <c r="AV285" s="34">
        <f>AW285+AX285</f>
        <v>0</v>
      </c>
      <c r="AW285" s="34">
        <f>G285*AO285</f>
        <v>0</v>
      </c>
      <c r="AX285" s="34">
        <f>G285*AP285</f>
        <v>0</v>
      </c>
      <c r="AY285" s="35" t="s">
        <v>1049</v>
      </c>
      <c r="AZ285" s="35" t="s">
        <v>1070</v>
      </c>
      <c r="BA285" s="28" t="s">
        <v>1085</v>
      </c>
      <c r="BC285" s="34">
        <f>AW285+AX285</f>
        <v>0</v>
      </c>
      <c r="BD285" s="34">
        <f>H285/(100-BE285)*100</f>
        <v>0</v>
      </c>
      <c r="BE285" s="34">
        <v>0</v>
      </c>
      <c r="BF285" s="34">
        <f>285</f>
        <v>285</v>
      </c>
      <c r="BH285" s="18">
        <f>G285*AO285</f>
        <v>0</v>
      </c>
      <c r="BI285" s="18">
        <f>G285*AP285</f>
        <v>0</v>
      </c>
      <c r="BJ285" s="18">
        <f>G285*H285</f>
        <v>0</v>
      </c>
    </row>
    <row r="286" spans="3:7" ht="12.75">
      <c r="C286" s="101" t="s">
        <v>7</v>
      </c>
      <c r="D286" s="102"/>
      <c r="E286" s="102"/>
      <c r="G286" s="64">
        <v>2</v>
      </c>
    </row>
    <row r="287" spans="1:62" ht="12.75">
      <c r="A287" s="5" t="s">
        <v>123</v>
      </c>
      <c r="B287" s="5" t="s">
        <v>443</v>
      </c>
      <c r="C287" s="99" t="s">
        <v>759</v>
      </c>
      <c r="D287" s="100"/>
      <c r="E287" s="100"/>
      <c r="F287" s="5" t="s">
        <v>988</v>
      </c>
      <c r="G287" s="63">
        <v>10</v>
      </c>
      <c r="H287" s="18">
        <v>0</v>
      </c>
      <c r="I287" s="18">
        <f>G287*AO287</f>
        <v>0</v>
      </c>
      <c r="J287" s="18">
        <f>G287*AP287</f>
        <v>0</v>
      </c>
      <c r="K287" s="18">
        <f>G287*H287</f>
        <v>0</v>
      </c>
      <c r="L287" s="29"/>
      <c r="Z287" s="34">
        <f>IF(AQ287="5",BJ287,0)</f>
        <v>0</v>
      </c>
      <c r="AB287" s="34">
        <f>IF(AQ287="1",BH287,0)</f>
        <v>0</v>
      </c>
      <c r="AC287" s="34">
        <f>IF(AQ287="1",BI287,0)</f>
        <v>0</v>
      </c>
      <c r="AD287" s="34">
        <f>IF(AQ287="7",BH287,0)</f>
        <v>0</v>
      </c>
      <c r="AE287" s="34">
        <f>IF(AQ287="7",BI287,0)</f>
        <v>0</v>
      </c>
      <c r="AF287" s="34">
        <f>IF(AQ287="2",BH287,0)</f>
        <v>0</v>
      </c>
      <c r="AG287" s="34">
        <f>IF(AQ287="2",BI287,0)</f>
        <v>0</v>
      </c>
      <c r="AH287" s="34">
        <f>IF(AQ287="0",BJ287,0)</f>
        <v>0</v>
      </c>
      <c r="AI287" s="28" t="s">
        <v>1020</v>
      </c>
      <c r="AJ287" s="18">
        <f>IF(AN287=0,K287,0)</f>
        <v>0</v>
      </c>
      <c r="AK287" s="18">
        <f>IF(AN287=15,K287,0)</f>
        <v>0</v>
      </c>
      <c r="AL287" s="18">
        <f>IF(AN287=21,K287,0)</f>
        <v>0</v>
      </c>
      <c r="AN287" s="34">
        <v>21</v>
      </c>
      <c r="AO287" s="34">
        <f>H287*0.0910188679245283</f>
        <v>0</v>
      </c>
      <c r="AP287" s="34">
        <f>H287*(1-0.0910188679245283)</f>
        <v>0</v>
      </c>
      <c r="AQ287" s="29" t="s">
        <v>7</v>
      </c>
      <c r="AV287" s="34">
        <f>AW287+AX287</f>
        <v>0</v>
      </c>
      <c r="AW287" s="34">
        <f>G287*AO287</f>
        <v>0</v>
      </c>
      <c r="AX287" s="34">
        <f>G287*AP287</f>
        <v>0</v>
      </c>
      <c r="AY287" s="35" t="s">
        <v>1049</v>
      </c>
      <c r="AZ287" s="35" t="s">
        <v>1070</v>
      </c>
      <c r="BA287" s="28" t="s">
        <v>1085</v>
      </c>
      <c r="BC287" s="34">
        <f>AW287+AX287</f>
        <v>0</v>
      </c>
      <c r="BD287" s="34">
        <f>H287/(100-BE287)*100</f>
        <v>0</v>
      </c>
      <c r="BE287" s="34">
        <v>0</v>
      </c>
      <c r="BF287" s="34">
        <f>287</f>
        <v>287</v>
      </c>
      <c r="BH287" s="18">
        <f>G287*AO287</f>
        <v>0</v>
      </c>
      <c r="BI287" s="18">
        <f>G287*AP287</f>
        <v>0</v>
      </c>
      <c r="BJ287" s="18">
        <f>G287*H287</f>
        <v>0</v>
      </c>
    </row>
    <row r="288" spans="3:7" ht="12.75">
      <c r="C288" s="101" t="s">
        <v>15</v>
      </c>
      <c r="D288" s="102"/>
      <c r="E288" s="102"/>
      <c r="G288" s="64">
        <v>10</v>
      </c>
    </row>
    <row r="289" spans="1:62" ht="12.75">
      <c r="A289" s="5" t="s">
        <v>124</v>
      </c>
      <c r="B289" s="5" t="s">
        <v>444</v>
      </c>
      <c r="C289" s="99" t="s">
        <v>760</v>
      </c>
      <c r="D289" s="100"/>
      <c r="E289" s="100"/>
      <c r="F289" s="5" t="s">
        <v>988</v>
      </c>
      <c r="G289" s="63">
        <v>4</v>
      </c>
      <c r="H289" s="18">
        <v>0</v>
      </c>
      <c r="I289" s="18">
        <f>G289*AO289</f>
        <v>0</v>
      </c>
      <c r="J289" s="18">
        <f>G289*AP289</f>
        <v>0</v>
      </c>
      <c r="K289" s="18">
        <f>G289*H289</f>
        <v>0</v>
      </c>
      <c r="L289" s="29"/>
      <c r="Z289" s="34">
        <f>IF(AQ289="5",BJ289,0)</f>
        <v>0</v>
      </c>
      <c r="AB289" s="34">
        <f>IF(AQ289="1",BH289,0)</f>
        <v>0</v>
      </c>
      <c r="AC289" s="34">
        <f>IF(AQ289="1",BI289,0)</f>
        <v>0</v>
      </c>
      <c r="AD289" s="34">
        <f>IF(AQ289="7",BH289,0)</f>
        <v>0</v>
      </c>
      <c r="AE289" s="34">
        <f>IF(AQ289="7",BI289,0)</f>
        <v>0</v>
      </c>
      <c r="AF289" s="34">
        <f>IF(AQ289="2",BH289,0)</f>
        <v>0</v>
      </c>
      <c r="AG289" s="34">
        <f>IF(AQ289="2",BI289,0)</f>
        <v>0</v>
      </c>
      <c r="AH289" s="34">
        <f>IF(AQ289="0",BJ289,0)</f>
        <v>0</v>
      </c>
      <c r="AI289" s="28" t="s">
        <v>1020</v>
      </c>
      <c r="AJ289" s="18">
        <f>IF(AN289=0,K289,0)</f>
        <v>0</v>
      </c>
      <c r="AK289" s="18">
        <f>IF(AN289=15,K289,0)</f>
        <v>0</v>
      </c>
      <c r="AL289" s="18">
        <f>IF(AN289=21,K289,0)</f>
        <v>0</v>
      </c>
      <c r="AN289" s="34">
        <v>21</v>
      </c>
      <c r="AO289" s="34">
        <f>H289*0.381277258566978</f>
        <v>0</v>
      </c>
      <c r="AP289" s="34">
        <f>H289*(1-0.381277258566978)</f>
        <v>0</v>
      </c>
      <c r="AQ289" s="29" t="s">
        <v>7</v>
      </c>
      <c r="AV289" s="34">
        <f>AW289+AX289</f>
        <v>0</v>
      </c>
      <c r="AW289" s="34">
        <f>G289*AO289</f>
        <v>0</v>
      </c>
      <c r="AX289" s="34">
        <f>G289*AP289</f>
        <v>0</v>
      </c>
      <c r="AY289" s="35" t="s">
        <v>1049</v>
      </c>
      <c r="AZ289" s="35" t="s">
        <v>1070</v>
      </c>
      <c r="BA289" s="28" t="s">
        <v>1085</v>
      </c>
      <c r="BC289" s="34">
        <f>AW289+AX289</f>
        <v>0</v>
      </c>
      <c r="BD289" s="34">
        <f>H289/(100-BE289)*100</f>
        <v>0</v>
      </c>
      <c r="BE289" s="34">
        <v>0</v>
      </c>
      <c r="BF289" s="34">
        <f>289</f>
        <v>289</v>
      </c>
      <c r="BH289" s="18">
        <f>G289*AO289</f>
        <v>0</v>
      </c>
      <c r="BI289" s="18">
        <f>G289*AP289</f>
        <v>0</v>
      </c>
      <c r="BJ289" s="18">
        <f>G289*H289</f>
        <v>0</v>
      </c>
    </row>
    <row r="290" spans="3:7" ht="12.75">
      <c r="C290" s="101" t="s">
        <v>9</v>
      </c>
      <c r="D290" s="102"/>
      <c r="E290" s="102"/>
      <c r="G290" s="64">
        <v>4</v>
      </c>
    </row>
    <row r="291" spans="1:62" ht="12.75">
      <c r="A291" s="5" t="s">
        <v>125</v>
      </c>
      <c r="B291" s="5" t="s">
        <v>445</v>
      </c>
      <c r="C291" s="99" t="s">
        <v>761</v>
      </c>
      <c r="D291" s="100"/>
      <c r="E291" s="100"/>
      <c r="F291" s="5" t="s">
        <v>988</v>
      </c>
      <c r="G291" s="63">
        <v>4</v>
      </c>
      <c r="H291" s="18">
        <v>0</v>
      </c>
      <c r="I291" s="18">
        <f>G291*AO291</f>
        <v>0</v>
      </c>
      <c r="J291" s="18">
        <f>G291*AP291</f>
        <v>0</v>
      </c>
      <c r="K291" s="18">
        <f>G291*H291</f>
        <v>0</v>
      </c>
      <c r="L291" s="29"/>
      <c r="Z291" s="34">
        <f>IF(AQ291="5",BJ291,0)</f>
        <v>0</v>
      </c>
      <c r="AB291" s="34">
        <f>IF(AQ291="1",BH291,0)</f>
        <v>0</v>
      </c>
      <c r="AC291" s="34">
        <f>IF(AQ291="1",BI291,0)</f>
        <v>0</v>
      </c>
      <c r="AD291" s="34">
        <f>IF(AQ291="7",BH291,0)</f>
        <v>0</v>
      </c>
      <c r="AE291" s="34">
        <f>IF(AQ291="7",BI291,0)</f>
        <v>0</v>
      </c>
      <c r="AF291" s="34">
        <f>IF(AQ291="2",BH291,0)</f>
        <v>0</v>
      </c>
      <c r="AG291" s="34">
        <f>IF(AQ291="2",BI291,0)</f>
        <v>0</v>
      </c>
      <c r="AH291" s="34">
        <f>IF(AQ291="0",BJ291,0)</f>
        <v>0</v>
      </c>
      <c r="AI291" s="28" t="s">
        <v>1020</v>
      </c>
      <c r="AJ291" s="18">
        <f>IF(AN291=0,K291,0)</f>
        <v>0</v>
      </c>
      <c r="AK291" s="18">
        <f>IF(AN291=15,K291,0)</f>
        <v>0</v>
      </c>
      <c r="AL291" s="18">
        <f>IF(AN291=21,K291,0)</f>
        <v>0</v>
      </c>
      <c r="AN291" s="34">
        <v>21</v>
      </c>
      <c r="AO291" s="34">
        <f>H291*0.107314468766684</f>
        <v>0</v>
      </c>
      <c r="AP291" s="34">
        <f>H291*(1-0.107314468766684)</f>
        <v>0</v>
      </c>
      <c r="AQ291" s="29" t="s">
        <v>7</v>
      </c>
      <c r="AV291" s="34">
        <f>AW291+AX291</f>
        <v>0</v>
      </c>
      <c r="AW291" s="34">
        <f>G291*AO291</f>
        <v>0</v>
      </c>
      <c r="AX291" s="34">
        <f>G291*AP291</f>
        <v>0</v>
      </c>
      <c r="AY291" s="35" t="s">
        <v>1049</v>
      </c>
      <c r="AZ291" s="35" t="s">
        <v>1070</v>
      </c>
      <c r="BA291" s="28" t="s">
        <v>1085</v>
      </c>
      <c r="BC291" s="34">
        <f>AW291+AX291</f>
        <v>0</v>
      </c>
      <c r="BD291" s="34">
        <f>H291/(100-BE291)*100</f>
        <v>0</v>
      </c>
      <c r="BE291" s="34">
        <v>0</v>
      </c>
      <c r="BF291" s="34">
        <f>291</f>
        <v>291</v>
      </c>
      <c r="BH291" s="18">
        <f>G291*AO291</f>
        <v>0</v>
      </c>
      <c r="BI291" s="18">
        <f>G291*AP291</f>
        <v>0</v>
      </c>
      <c r="BJ291" s="18">
        <f>G291*H291</f>
        <v>0</v>
      </c>
    </row>
    <row r="292" spans="3:7" ht="12.75">
      <c r="C292" s="101" t="s">
        <v>9</v>
      </c>
      <c r="D292" s="102"/>
      <c r="E292" s="102"/>
      <c r="G292" s="64">
        <v>4</v>
      </c>
    </row>
    <row r="293" spans="1:62" ht="12.75">
      <c r="A293" s="5" t="s">
        <v>126</v>
      </c>
      <c r="B293" s="5" t="s">
        <v>446</v>
      </c>
      <c r="C293" s="99" t="s">
        <v>762</v>
      </c>
      <c r="D293" s="100"/>
      <c r="E293" s="100"/>
      <c r="F293" s="5" t="s">
        <v>986</v>
      </c>
      <c r="G293" s="63">
        <v>13.4</v>
      </c>
      <c r="H293" s="18">
        <v>0</v>
      </c>
      <c r="I293" s="18">
        <f>G293*AO293</f>
        <v>0</v>
      </c>
      <c r="J293" s="18">
        <f>G293*AP293</f>
        <v>0</v>
      </c>
      <c r="K293" s="18">
        <f>G293*H293</f>
        <v>0</v>
      </c>
      <c r="L293" s="29"/>
      <c r="Z293" s="34">
        <f>IF(AQ293="5",BJ293,0)</f>
        <v>0</v>
      </c>
      <c r="AB293" s="34">
        <f>IF(AQ293="1",BH293,0)</f>
        <v>0</v>
      </c>
      <c r="AC293" s="34">
        <f>IF(AQ293="1",BI293,0)</f>
        <v>0</v>
      </c>
      <c r="AD293" s="34">
        <f>IF(AQ293="7",BH293,0)</f>
        <v>0</v>
      </c>
      <c r="AE293" s="34">
        <f>IF(AQ293="7",BI293,0)</f>
        <v>0</v>
      </c>
      <c r="AF293" s="34">
        <f>IF(AQ293="2",BH293,0)</f>
        <v>0</v>
      </c>
      <c r="AG293" s="34">
        <f>IF(AQ293="2",BI293,0)</f>
        <v>0</v>
      </c>
      <c r="AH293" s="34">
        <f>IF(AQ293="0",BJ293,0)</f>
        <v>0</v>
      </c>
      <c r="AI293" s="28" t="s">
        <v>1020</v>
      </c>
      <c r="AJ293" s="18">
        <f>IF(AN293=0,K293,0)</f>
        <v>0</v>
      </c>
      <c r="AK293" s="18">
        <f>IF(AN293=15,K293,0)</f>
        <v>0</v>
      </c>
      <c r="AL293" s="18">
        <f>IF(AN293=21,K293,0)</f>
        <v>0</v>
      </c>
      <c r="AN293" s="34">
        <v>21</v>
      </c>
      <c r="AO293" s="34">
        <f>H293*0.192817679558011</f>
        <v>0</v>
      </c>
      <c r="AP293" s="34">
        <f>H293*(1-0.192817679558011)</f>
        <v>0</v>
      </c>
      <c r="AQ293" s="29" t="s">
        <v>7</v>
      </c>
      <c r="AV293" s="34">
        <f>AW293+AX293</f>
        <v>0</v>
      </c>
      <c r="AW293" s="34">
        <f>G293*AO293</f>
        <v>0</v>
      </c>
      <c r="AX293" s="34">
        <f>G293*AP293</f>
        <v>0</v>
      </c>
      <c r="AY293" s="35" t="s">
        <v>1049</v>
      </c>
      <c r="AZ293" s="35" t="s">
        <v>1070</v>
      </c>
      <c r="BA293" s="28" t="s">
        <v>1085</v>
      </c>
      <c r="BC293" s="34">
        <f>AW293+AX293</f>
        <v>0</v>
      </c>
      <c r="BD293" s="34">
        <f>H293/(100-BE293)*100</f>
        <v>0</v>
      </c>
      <c r="BE293" s="34">
        <v>0</v>
      </c>
      <c r="BF293" s="34">
        <f>293</f>
        <v>293</v>
      </c>
      <c r="BH293" s="18">
        <f>G293*AO293</f>
        <v>0</v>
      </c>
      <c r="BI293" s="18">
        <f>G293*AP293</f>
        <v>0</v>
      </c>
      <c r="BJ293" s="18">
        <f>G293*H293</f>
        <v>0</v>
      </c>
    </row>
    <row r="294" spans="3:7" ht="12.75">
      <c r="C294" s="101" t="s">
        <v>763</v>
      </c>
      <c r="D294" s="102"/>
      <c r="E294" s="102"/>
      <c r="G294" s="64">
        <v>13.4</v>
      </c>
    </row>
    <row r="295" spans="1:62" ht="12.75">
      <c r="A295" s="5" t="s">
        <v>127</v>
      </c>
      <c r="B295" s="5" t="s">
        <v>447</v>
      </c>
      <c r="C295" s="99" t="s">
        <v>764</v>
      </c>
      <c r="D295" s="100"/>
      <c r="E295" s="100"/>
      <c r="F295" s="5" t="s">
        <v>988</v>
      </c>
      <c r="G295" s="63">
        <v>1</v>
      </c>
      <c r="H295" s="18">
        <v>0</v>
      </c>
      <c r="I295" s="18">
        <f>G295*AO295</f>
        <v>0</v>
      </c>
      <c r="J295" s="18">
        <f>G295*AP295</f>
        <v>0</v>
      </c>
      <c r="K295" s="18">
        <f>G295*H295</f>
        <v>0</v>
      </c>
      <c r="L295" s="29"/>
      <c r="Z295" s="34">
        <f>IF(AQ295="5",BJ295,0)</f>
        <v>0</v>
      </c>
      <c r="AB295" s="34">
        <f>IF(AQ295="1",BH295,0)</f>
        <v>0</v>
      </c>
      <c r="AC295" s="34">
        <f>IF(AQ295="1",BI295,0)</f>
        <v>0</v>
      </c>
      <c r="AD295" s="34">
        <f>IF(AQ295="7",BH295,0)</f>
        <v>0</v>
      </c>
      <c r="AE295" s="34">
        <f>IF(AQ295="7",BI295,0)</f>
        <v>0</v>
      </c>
      <c r="AF295" s="34">
        <f>IF(AQ295="2",BH295,0)</f>
        <v>0</v>
      </c>
      <c r="AG295" s="34">
        <f>IF(AQ295="2",BI295,0)</f>
        <v>0</v>
      </c>
      <c r="AH295" s="34">
        <f>IF(AQ295="0",BJ295,0)</f>
        <v>0</v>
      </c>
      <c r="AI295" s="28" t="s">
        <v>1020</v>
      </c>
      <c r="AJ295" s="18">
        <f>IF(AN295=0,K295,0)</f>
        <v>0</v>
      </c>
      <c r="AK295" s="18">
        <f>IF(AN295=15,K295,0)</f>
        <v>0</v>
      </c>
      <c r="AL295" s="18">
        <f>IF(AN295=21,K295,0)</f>
        <v>0</v>
      </c>
      <c r="AN295" s="34">
        <v>21</v>
      </c>
      <c r="AO295" s="34">
        <f>H295*0</f>
        <v>0</v>
      </c>
      <c r="AP295" s="34">
        <f>H295*(1-0)</f>
        <v>0</v>
      </c>
      <c r="AQ295" s="29" t="s">
        <v>6</v>
      </c>
      <c r="AV295" s="34">
        <f>AW295+AX295</f>
        <v>0</v>
      </c>
      <c r="AW295" s="34">
        <f>G295*AO295</f>
        <v>0</v>
      </c>
      <c r="AX295" s="34">
        <f>G295*AP295</f>
        <v>0</v>
      </c>
      <c r="AY295" s="35" t="s">
        <v>1049</v>
      </c>
      <c r="AZ295" s="35" t="s">
        <v>1070</v>
      </c>
      <c r="BA295" s="28" t="s">
        <v>1085</v>
      </c>
      <c r="BC295" s="34">
        <f>AW295+AX295</f>
        <v>0</v>
      </c>
      <c r="BD295" s="34">
        <f>H295/(100-BE295)*100</f>
        <v>0</v>
      </c>
      <c r="BE295" s="34">
        <v>0</v>
      </c>
      <c r="BF295" s="34">
        <f>295</f>
        <v>295</v>
      </c>
      <c r="BH295" s="18">
        <f>G295*AO295</f>
        <v>0</v>
      </c>
      <c r="BI295" s="18">
        <f>G295*AP295</f>
        <v>0</v>
      </c>
      <c r="BJ295" s="18">
        <f>G295*H295</f>
        <v>0</v>
      </c>
    </row>
    <row r="296" spans="3:7" ht="12.75">
      <c r="C296" s="101" t="s">
        <v>6</v>
      </c>
      <c r="D296" s="102"/>
      <c r="E296" s="102"/>
      <c r="G296" s="64">
        <v>1</v>
      </c>
    </row>
    <row r="297" spans="1:47" ht="12.75">
      <c r="A297" s="4"/>
      <c r="B297" s="14" t="s">
        <v>448</v>
      </c>
      <c r="C297" s="97" t="s">
        <v>765</v>
      </c>
      <c r="D297" s="98"/>
      <c r="E297" s="98"/>
      <c r="F297" s="4" t="s">
        <v>5</v>
      </c>
      <c r="G297" s="4" t="s">
        <v>5</v>
      </c>
      <c r="H297" s="4" t="s">
        <v>5</v>
      </c>
      <c r="I297" s="37">
        <f>SUM(I298:I302)</f>
        <v>0</v>
      </c>
      <c r="J297" s="37">
        <f>SUM(J298:J302)</f>
        <v>0</v>
      </c>
      <c r="K297" s="37">
        <f>SUM(K298:K302)</f>
        <v>0</v>
      </c>
      <c r="L297" s="28"/>
      <c r="AI297" s="28" t="s">
        <v>1020</v>
      </c>
      <c r="AS297" s="37">
        <f>SUM(AJ298:AJ302)</f>
        <v>0</v>
      </c>
      <c r="AT297" s="37">
        <f>SUM(AK298:AK302)</f>
        <v>0</v>
      </c>
      <c r="AU297" s="37">
        <f>SUM(AL298:AL302)</f>
        <v>0</v>
      </c>
    </row>
    <row r="298" spans="1:62" ht="12.75">
      <c r="A298" s="5" t="s">
        <v>128</v>
      </c>
      <c r="B298" s="5" t="s">
        <v>449</v>
      </c>
      <c r="C298" s="99" t="s">
        <v>766</v>
      </c>
      <c r="D298" s="100"/>
      <c r="E298" s="100"/>
      <c r="F298" s="5" t="s">
        <v>989</v>
      </c>
      <c r="G298" s="63">
        <v>10</v>
      </c>
      <c r="H298" s="18">
        <v>0</v>
      </c>
      <c r="I298" s="18">
        <f>G298*AO298</f>
        <v>0</v>
      </c>
      <c r="J298" s="18">
        <f>G298*AP298</f>
        <v>0</v>
      </c>
      <c r="K298" s="18">
        <f>G298*H298</f>
        <v>0</v>
      </c>
      <c r="L298" s="29"/>
      <c r="Z298" s="34">
        <f>IF(AQ298="5",BJ298,0)</f>
        <v>0</v>
      </c>
      <c r="AB298" s="34">
        <f>IF(AQ298="1",BH298,0)</f>
        <v>0</v>
      </c>
      <c r="AC298" s="34">
        <f>IF(AQ298="1",BI298,0)</f>
        <v>0</v>
      </c>
      <c r="AD298" s="34">
        <f>IF(AQ298="7",BH298,0)</f>
        <v>0</v>
      </c>
      <c r="AE298" s="34">
        <f>IF(AQ298="7",BI298,0)</f>
        <v>0</v>
      </c>
      <c r="AF298" s="34">
        <f>IF(AQ298="2",BH298,0)</f>
        <v>0</v>
      </c>
      <c r="AG298" s="34">
        <f>IF(AQ298="2",BI298,0)</f>
        <v>0</v>
      </c>
      <c r="AH298" s="34">
        <f>IF(AQ298="0",BJ298,0)</f>
        <v>0</v>
      </c>
      <c r="AI298" s="28" t="s">
        <v>1020</v>
      </c>
      <c r="AJ298" s="18">
        <f>IF(AN298=0,K298,0)</f>
        <v>0</v>
      </c>
      <c r="AK298" s="18">
        <f>IF(AN298=15,K298,0)</f>
        <v>0</v>
      </c>
      <c r="AL298" s="18">
        <f>IF(AN298=21,K298,0)</f>
        <v>0</v>
      </c>
      <c r="AN298" s="34">
        <v>21</v>
      </c>
      <c r="AO298" s="34">
        <f>H298*0</f>
        <v>0</v>
      </c>
      <c r="AP298" s="34">
        <f>H298*(1-0)</f>
        <v>0</v>
      </c>
      <c r="AQ298" s="29" t="s">
        <v>7</v>
      </c>
      <c r="AV298" s="34">
        <f>AW298+AX298</f>
        <v>0</v>
      </c>
      <c r="AW298" s="34">
        <f>G298*AO298</f>
        <v>0</v>
      </c>
      <c r="AX298" s="34">
        <f>G298*AP298</f>
        <v>0</v>
      </c>
      <c r="AY298" s="35" t="s">
        <v>1050</v>
      </c>
      <c r="AZ298" s="35" t="s">
        <v>1070</v>
      </c>
      <c r="BA298" s="28" t="s">
        <v>1085</v>
      </c>
      <c r="BC298" s="34">
        <f>AW298+AX298</f>
        <v>0</v>
      </c>
      <c r="BD298" s="34">
        <f>H298/(100-BE298)*100</f>
        <v>0</v>
      </c>
      <c r="BE298" s="34">
        <v>0</v>
      </c>
      <c r="BF298" s="34">
        <f>298</f>
        <v>298</v>
      </c>
      <c r="BH298" s="18">
        <f>G298*AO298</f>
        <v>0</v>
      </c>
      <c r="BI298" s="18">
        <f>G298*AP298</f>
        <v>0</v>
      </c>
      <c r="BJ298" s="18">
        <f>G298*H298</f>
        <v>0</v>
      </c>
    </row>
    <row r="299" spans="3:7" ht="12.75">
      <c r="C299" s="101" t="s">
        <v>15</v>
      </c>
      <c r="D299" s="102"/>
      <c r="E299" s="102"/>
      <c r="G299" s="64">
        <v>10</v>
      </c>
    </row>
    <row r="300" spans="1:62" ht="12.75">
      <c r="A300" s="5" t="s">
        <v>129</v>
      </c>
      <c r="B300" s="5" t="s">
        <v>450</v>
      </c>
      <c r="C300" s="99" t="s">
        <v>767</v>
      </c>
      <c r="D300" s="100"/>
      <c r="E300" s="100"/>
      <c r="F300" s="5" t="s">
        <v>986</v>
      </c>
      <c r="G300" s="63">
        <v>13.4</v>
      </c>
      <c r="H300" s="18">
        <v>0</v>
      </c>
      <c r="I300" s="18">
        <f>G300*AO300</f>
        <v>0</v>
      </c>
      <c r="J300" s="18">
        <f>G300*AP300</f>
        <v>0</v>
      </c>
      <c r="K300" s="18">
        <f>G300*H300</f>
        <v>0</v>
      </c>
      <c r="L300" s="29"/>
      <c r="Z300" s="34">
        <f>IF(AQ300="5",BJ300,0)</f>
        <v>0</v>
      </c>
      <c r="AB300" s="34">
        <f>IF(AQ300="1",BH300,0)</f>
        <v>0</v>
      </c>
      <c r="AC300" s="34">
        <f>IF(AQ300="1",BI300,0)</f>
        <v>0</v>
      </c>
      <c r="AD300" s="34">
        <f>IF(AQ300="7",BH300,0)</f>
        <v>0</v>
      </c>
      <c r="AE300" s="34">
        <f>IF(AQ300="7",BI300,0)</f>
        <v>0</v>
      </c>
      <c r="AF300" s="34">
        <f>IF(AQ300="2",BH300,0)</f>
        <v>0</v>
      </c>
      <c r="AG300" s="34">
        <f>IF(AQ300="2",BI300,0)</f>
        <v>0</v>
      </c>
      <c r="AH300" s="34">
        <f>IF(AQ300="0",BJ300,0)</f>
        <v>0</v>
      </c>
      <c r="AI300" s="28" t="s">
        <v>1020</v>
      </c>
      <c r="AJ300" s="18">
        <f>IF(AN300=0,K300,0)</f>
        <v>0</v>
      </c>
      <c r="AK300" s="18">
        <f>IF(AN300=15,K300,0)</f>
        <v>0</v>
      </c>
      <c r="AL300" s="18">
        <f>IF(AN300=21,K300,0)</f>
        <v>0</v>
      </c>
      <c r="AN300" s="34">
        <v>21</v>
      </c>
      <c r="AO300" s="34">
        <f>H300*0</f>
        <v>0</v>
      </c>
      <c r="AP300" s="34">
        <f>H300*(1-0)</f>
        <v>0</v>
      </c>
      <c r="AQ300" s="29" t="s">
        <v>7</v>
      </c>
      <c r="AV300" s="34">
        <f>AW300+AX300</f>
        <v>0</v>
      </c>
      <c r="AW300" s="34">
        <f>G300*AO300</f>
        <v>0</v>
      </c>
      <c r="AX300" s="34">
        <f>G300*AP300</f>
        <v>0</v>
      </c>
      <c r="AY300" s="35" t="s">
        <v>1050</v>
      </c>
      <c r="AZ300" s="35" t="s">
        <v>1070</v>
      </c>
      <c r="BA300" s="28" t="s">
        <v>1085</v>
      </c>
      <c r="BC300" s="34">
        <f>AW300+AX300</f>
        <v>0</v>
      </c>
      <c r="BD300" s="34">
        <f>H300/(100-BE300)*100</f>
        <v>0</v>
      </c>
      <c r="BE300" s="34">
        <v>0</v>
      </c>
      <c r="BF300" s="34">
        <f>300</f>
        <v>300</v>
      </c>
      <c r="BH300" s="18">
        <f>G300*AO300</f>
        <v>0</v>
      </c>
      <c r="BI300" s="18">
        <f>G300*AP300</f>
        <v>0</v>
      </c>
      <c r="BJ300" s="18">
        <f>G300*H300</f>
        <v>0</v>
      </c>
    </row>
    <row r="301" spans="3:7" ht="12.75">
      <c r="C301" s="101" t="s">
        <v>744</v>
      </c>
      <c r="D301" s="102"/>
      <c r="E301" s="102"/>
      <c r="G301" s="64">
        <v>13.4</v>
      </c>
    </row>
    <row r="302" spans="1:62" ht="12.75">
      <c r="A302" s="6" t="s">
        <v>130</v>
      </c>
      <c r="B302" s="6" t="s">
        <v>451</v>
      </c>
      <c r="C302" s="103" t="s">
        <v>768</v>
      </c>
      <c r="D302" s="104"/>
      <c r="E302" s="104"/>
      <c r="F302" s="6" t="s">
        <v>991</v>
      </c>
      <c r="G302" s="65">
        <v>1</v>
      </c>
      <c r="H302" s="19">
        <v>0</v>
      </c>
      <c r="I302" s="19">
        <f>G302*AO302</f>
        <v>0</v>
      </c>
      <c r="J302" s="19">
        <f>G302*AP302</f>
        <v>0</v>
      </c>
      <c r="K302" s="19">
        <f>G302*H302</f>
        <v>0</v>
      </c>
      <c r="L302" s="30"/>
      <c r="Z302" s="34">
        <f>IF(AQ302="5",BJ302,0)</f>
        <v>0</v>
      </c>
      <c r="AB302" s="34">
        <f>IF(AQ302="1",BH302,0)</f>
        <v>0</v>
      </c>
      <c r="AC302" s="34">
        <f>IF(AQ302="1",BI302,0)</f>
        <v>0</v>
      </c>
      <c r="AD302" s="34">
        <f>IF(AQ302="7",BH302,0)</f>
        <v>0</v>
      </c>
      <c r="AE302" s="34">
        <f>IF(AQ302="7",BI302,0)</f>
        <v>0</v>
      </c>
      <c r="AF302" s="34">
        <f>IF(AQ302="2",BH302,0)</f>
        <v>0</v>
      </c>
      <c r="AG302" s="34">
        <f>IF(AQ302="2",BI302,0)</f>
        <v>0</v>
      </c>
      <c r="AH302" s="34">
        <f>IF(AQ302="0",BJ302,0)</f>
        <v>0</v>
      </c>
      <c r="AI302" s="28" t="s">
        <v>1020</v>
      </c>
      <c r="AJ302" s="19">
        <f>IF(AN302=0,K302,0)</f>
        <v>0</v>
      </c>
      <c r="AK302" s="19">
        <f>IF(AN302=15,K302,0)</f>
        <v>0</v>
      </c>
      <c r="AL302" s="19">
        <f>IF(AN302=21,K302,0)</f>
        <v>0</v>
      </c>
      <c r="AN302" s="34">
        <v>21</v>
      </c>
      <c r="AO302" s="34">
        <f>H302*1</f>
        <v>0</v>
      </c>
      <c r="AP302" s="34">
        <f>H302*(1-1)</f>
        <v>0</v>
      </c>
      <c r="AQ302" s="30" t="s">
        <v>6</v>
      </c>
      <c r="AV302" s="34">
        <f>AW302+AX302</f>
        <v>0</v>
      </c>
      <c r="AW302" s="34">
        <f>G302*AO302</f>
        <v>0</v>
      </c>
      <c r="AX302" s="34">
        <f>G302*AP302</f>
        <v>0</v>
      </c>
      <c r="AY302" s="35" t="s">
        <v>1050</v>
      </c>
      <c r="AZ302" s="35" t="s">
        <v>1070</v>
      </c>
      <c r="BA302" s="28" t="s">
        <v>1085</v>
      </c>
      <c r="BC302" s="34">
        <f>AW302+AX302</f>
        <v>0</v>
      </c>
      <c r="BD302" s="34">
        <f>H302/(100-BE302)*100</f>
        <v>0</v>
      </c>
      <c r="BE302" s="34">
        <v>0</v>
      </c>
      <c r="BF302" s="34">
        <f>302</f>
        <v>302</v>
      </c>
      <c r="BH302" s="19">
        <f>G302*AO302</f>
        <v>0</v>
      </c>
      <c r="BI302" s="19">
        <f>G302*AP302</f>
        <v>0</v>
      </c>
      <c r="BJ302" s="19">
        <f>G302*H302</f>
        <v>0</v>
      </c>
    </row>
    <row r="303" spans="3:7" ht="12.75">
      <c r="C303" s="101" t="s">
        <v>6</v>
      </c>
      <c r="D303" s="102"/>
      <c r="E303" s="102"/>
      <c r="G303" s="64">
        <v>1</v>
      </c>
    </row>
    <row r="304" spans="1:47" ht="12.75">
      <c r="A304" s="4"/>
      <c r="B304" s="14" t="s">
        <v>452</v>
      </c>
      <c r="C304" s="97" t="s">
        <v>769</v>
      </c>
      <c r="D304" s="98"/>
      <c r="E304" s="98"/>
      <c r="F304" s="4" t="s">
        <v>5</v>
      </c>
      <c r="G304" s="4" t="s">
        <v>5</v>
      </c>
      <c r="H304" s="4" t="s">
        <v>5</v>
      </c>
      <c r="I304" s="37">
        <f>SUM(I305:I317)</f>
        <v>0</v>
      </c>
      <c r="J304" s="37">
        <f>SUM(J305:J317)</f>
        <v>0</v>
      </c>
      <c r="K304" s="37">
        <f>SUM(K305:K317)</f>
        <v>0</v>
      </c>
      <c r="L304" s="28"/>
      <c r="AI304" s="28" t="s">
        <v>1020</v>
      </c>
      <c r="AS304" s="37">
        <f>SUM(AJ305:AJ317)</f>
        <v>0</v>
      </c>
      <c r="AT304" s="37">
        <f>SUM(AK305:AK317)</f>
        <v>0</v>
      </c>
      <c r="AU304" s="37">
        <f>SUM(AL305:AL317)</f>
        <v>0</v>
      </c>
    </row>
    <row r="305" spans="1:62" ht="12.75">
      <c r="A305" s="5" t="s">
        <v>131</v>
      </c>
      <c r="B305" s="5" t="s">
        <v>453</v>
      </c>
      <c r="C305" s="99" t="s">
        <v>770</v>
      </c>
      <c r="D305" s="100"/>
      <c r="E305" s="100"/>
      <c r="F305" s="5" t="s">
        <v>987</v>
      </c>
      <c r="G305" s="63">
        <v>1.555</v>
      </c>
      <c r="H305" s="18">
        <v>0</v>
      </c>
      <c r="I305" s="18">
        <f>G305*AO305</f>
        <v>0</v>
      </c>
      <c r="J305" s="18">
        <f>G305*AP305</f>
        <v>0</v>
      </c>
      <c r="K305" s="18">
        <f>G305*H305</f>
        <v>0</v>
      </c>
      <c r="L305" s="29"/>
      <c r="Z305" s="34">
        <f>IF(AQ305="5",BJ305,0)</f>
        <v>0</v>
      </c>
      <c r="AB305" s="34">
        <f>IF(AQ305="1",BH305,0)</f>
        <v>0</v>
      </c>
      <c r="AC305" s="34">
        <f>IF(AQ305="1",BI305,0)</f>
        <v>0</v>
      </c>
      <c r="AD305" s="34">
        <f>IF(AQ305="7",BH305,0)</f>
        <v>0</v>
      </c>
      <c r="AE305" s="34">
        <f>IF(AQ305="7",BI305,0)</f>
        <v>0</v>
      </c>
      <c r="AF305" s="34">
        <f>IF(AQ305="2",BH305,0)</f>
        <v>0</v>
      </c>
      <c r="AG305" s="34">
        <f>IF(AQ305="2",BI305,0)</f>
        <v>0</v>
      </c>
      <c r="AH305" s="34">
        <f>IF(AQ305="0",BJ305,0)</f>
        <v>0</v>
      </c>
      <c r="AI305" s="28" t="s">
        <v>1020</v>
      </c>
      <c r="AJ305" s="18">
        <f>IF(AN305=0,K305,0)</f>
        <v>0</v>
      </c>
      <c r="AK305" s="18">
        <f>IF(AN305=15,K305,0)</f>
        <v>0</v>
      </c>
      <c r="AL305" s="18">
        <f>IF(AN305=21,K305,0)</f>
        <v>0</v>
      </c>
      <c r="AN305" s="34">
        <v>21</v>
      </c>
      <c r="AO305" s="34">
        <f>H305*0</f>
        <v>0</v>
      </c>
      <c r="AP305" s="34">
        <f>H305*(1-0)</f>
        <v>0</v>
      </c>
      <c r="AQ305" s="29" t="s">
        <v>10</v>
      </c>
      <c r="AV305" s="34">
        <f>AW305+AX305</f>
        <v>0</v>
      </c>
      <c r="AW305" s="34">
        <f>G305*AO305</f>
        <v>0</v>
      </c>
      <c r="AX305" s="34">
        <f>G305*AP305</f>
        <v>0</v>
      </c>
      <c r="AY305" s="35" t="s">
        <v>1051</v>
      </c>
      <c r="AZ305" s="35" t="s">
        <v>1070</v>
      </c>
      <c r="BA305" s="28" t="s">
        <v>1085</v>
      </c>
      <c r="BC305" s="34">
        <f>AW305+AX305</f>
        <v>0</v>
      </c>
      <c r="BD305" s="34">
        <f>H305/(100-BE305)*100</f>
        <v>0</v>
      </c>
      <c r="BE305" s="34">
        <v>0</v>
      </c>
      <c r="BF305" s="34">
        <f>305</f>
        <v>305</v>
      </c>
      <c r="BH305" s="18">
        <f>G305*AO305</f>
        <v>0</v>
      </c>
      <c r="BI305" s="18">
        <f>G305*AP305</f>
        <v>0</v>
      </c>
      <c r="BJ305" s="18">
        <f>G305*H305</f>
        <v>0</v>
      </c>
    </row>
    <row r="306" spans="3:7" ht="12.75">
      <c r="C306" s="101" t="s">
        <v>771</v>
      </c>
      <c r="D306" s="102"/>
      <c r="E306" s="102"/>
      <c r="G306" s="64">
        <v>1.555</v>
      </c>
    </row>
    <row r="307" spans="1:62" ht="12.75">
      <c r="A307" s="5" t="s">
        <v>132</v>
      </c>
      <c r="B307" s="5" t="s">
        <v>454</v>
      </c>
      <c r="C307" s="99" t="s">
        <v>772</v>
      </c>
      <c r="D307" s="100"/>
      <c r="E307" s="100"/>
      <c r="F307" s="5" t="s">
        <v>987</v>
      </c>
      <c r="G307" s="63">
        <v>15.55</v>
      </c>
      <c r="H307" s="18">
        <v>0</v>
      </c>
      <c r="I307" s="18">
        <f>G307*AO307</f>
        <v>0</v>
      </c>
      <c r="J307" s="18">
        <f>G307*AP307</f>
        <v>0</v>
      </c>
      <c r="K307" s="18">
        <f>G307*H307</f>
        <v>0</v>
      </c>
      <c r="L307" s="29"/>
      <c r="Z307" s="34">
        <f>IF(AQ307="5",BJ307,0)</f>
        <v>0</v>
      </c>
      <c r="AB307" s="34">
        <f>IF(AQ307="1",BH307,0)</f>
        <v>0</v>
      </c>
      <c r="AC307" s="34">
        <f>IF(AQ307="1",BI307,0)</f>
        <v>0</v>
      </c>
      <c r="AD307" s="34">
        <f>IF(AQ307="7",BH307,0)</f>
        <v>0</v>
      </c>
      <c r="AE307" s="34">
        <f>IF(AQ307="7",BI307,0)</f>
        <v>0</v>
      </c>
      <c r="AF307" s="34">
        <f>IF(AQ307="2",BH307,0)</f>
        <v>0</v>
      </c>
      <c r="AG307" s="34">
        <f>IF(AQ307="2",BI307,0)</f>
        <v>0</v>
      </c>
      <c r="AH307" s="34">
        <f>IF(AQ307="0",BJ307,0)</f>
        <v>0</v>
      </c>
      <c r="AI307" s="28" t="s">
        <v>1020</v>
      </c>
      <c r="AJ307" s="18">
        <f>IF(AN307=0,K307,0)</f>
        <v>0</v>
      </c>
      <c r="AK307" s="18">
        <f>IF(AN307=15,K307,0)</f>
        <v>0</v>
      </c>
      <c r="AL307" s="18">
        <f>IF(AN307=21,K307,0)</f>
        <v>0</v>
      </c>
      <c r="AN307" s="34">
        <v>21</v>
      </c>
      <c r="AO307" s="34">
        <f>H307*0</f>
        <v>0</v>
      </c>
      <c r="AP307" s="34">
        <f>H307*(1-0)</f>
        <v>0</v>
      </c>
      <c r="AQ307" s="29" t="s">
        <v>10</v>
      </c>
      <c r="AV307" s="34">
        <f>AW307+AX307</f>
        <v>0</v>
      </c>
      <c r="AW307" s="34">
        <f>G307*AO307</f>
        <v>0</v>
      </c>
      <c r="AX307" s="34">
        <f>G307*AP307</f>
        <v>0</v>
      </c>
      <c r="AY307" s="35" t="s">
        <v>1051</v>
      </c>
      <c r="AZ307" s="35" t="s">
        <v>1070</v>
      </c>
      <c r="BA307" s="28" t="s">
        <v>1085</v>
      </c>
      <c r="BC307" s="34">
        <f>AW307+AX307</f>
        <v>0</v>
      </c>
      <c r="BD307" s="34">
        <f>H307/(100-BE307)*100</f>
        <v>0</v>
      </c>
      <c r="BE307" s="34">
        <v>0</v>
      </c>
      <c r="BF307" s="34">
        <f>307</f>
        <v>307</v>
      </c>
      <c r="BH307" s="18">
        <f>G307*AO307</f>
        <v>0</v>
      </c>
      <c r="BI307" s="18">
        <f>G307*AP307</f>
        <v>0</v>
      </c>
      <c r="BJ307" s="18">
        <f>G307*H307</f>
        <v>0</v>
      </c>
    </row>
    <row r="308" spans="3:7" ht="12.75">
      <c r="C308" s="101" t="s">
        <v>773</v>
      </c>
      <c r="D308" s="102"/>
      <c r="E308" s="102"/>
      <c r="G308" s="64">
        <v>15.55</v>
      </c>
    </row>
    <row r="309" spans="1:62" ht="12.75">
      <c r="A309" s="5" t="s">
        <v>133</v>
      </c>
      <c r="B309" s="5" t="s">
        <v>455</v>
      </c>
      <c r="C309" s="99" t="s">
        <v>774</v>
      </c>
      <c r="D309" s="100"/>
      <c r="E309" s="100"/>
      <c r="F309" s="5" t="s">
        <v>987</v>
      </c>
      <c r="G309" s="63">
        <v>1.555</v>
      </c>
      <c r="H309" s="18">
        <v>0</v>
      </c>
      <c r="I309" s="18">
        <f>G309*AO309</f>
        <v>0</v>
      </c>
      <c r="J309" s="18">
        <f>G309*AP309</f>
        <v>0</v>
      </c>
      <c r="K309" s="18">
        <f>G309*H309</f>
        <v>0</v>
      </c>
      <c r="L309" s="29"/>
      <c r="Z309" s="34">
        <f>IF(AQ309="5",BJ309,0)</f>
        <v>0</v>
      </c>
      <c r="AB309" s="34">
        <f>IF(AQ309="1",BH309,0)</f>
        <v>0</v>
      </c>
      <c r="AC309" s="34">
        <f>IF(AQ309="1",BI309,0)</f>
        <v>0</v>
      </c>
      <c r="AD309" s="34">
        <f>IF(AQ309="7",BH309,0)</f>
        <v>0</v>
      </c>
      <c r="AE309" s="34">
        <f>IF(AQ309="7",BI309,0)</f>
        <v>0</v>
      </c>
      <c r="AF309" s="34">
        <f>IF(AQ309="2",BH309,0)</f>
        <v>0</v>
      </c>
      <c r="AG309" s="34">
        <f>IF(AQ309="2",BI309,0)</f>
        <v>0</v>
      </c>
      <c r="AH309" s="34">
        <f>IF(AQ309="0",BJ309,0)</f>
        <v>0</v>
      </c>
      <c r="AI309" s="28" t="s">
        <v>1020</v>
      </c>
      <c r="AJ309" s="18">
        <f>IF(AN309=0,K309,0)</f>
        <v>0</v>
      </c>
      <c r="AK309" s="18">
        <f>IF(AN309=15,K309,0)</f>
        <v>0</v>
      </c>
      <c r="AL309" s="18">
        <f>IF(AN309=21,K309,0)</f>
        <v>0</v>
      </c>
      <c r="AN309" s="34">
        <v>21</v>
      </c>
      <c r="AO309" s="34">
        <f>H309*0</f>
        <v>0</v>
      </c>
      <c r="AP309" s="34">
        <f>H309*(1-0)</f>
        <v>0</v>
      </c>
      <c r="AQ309" s="29" t="s">
        <v>10</v>
      </c>
      <c r="AV309" s="34">
        <f>AW309+AX309</f>
        <v>0</v>
      </c>
      <c r="AW309" s="34">
        <f>G309*AO309</f>
        <v>0</v>
      </c>
      <c r="AX309" s="34">
        <f>G309*AP309</f>
        <v>0</v>
      </c>
      <c r="AY309" s="35" t="s">
        <v>1051</v>
      </c>
      <c r="AZ309" s="35" t="s">
        <v>1070</v>
      </c>
      <c r="BA309" s="28" t="s">
        <v>1085</v>
      </c>
      <c r="BC309" s="34">
        <f>AW309+AX309</f>
        <v>0</v>
      </c>
      <c r="BD309" s="34">
        <f>H309/(100-BE309)*100</f>
        <v>0</v>
      </c>
      <c r="BE309" s="34">
        <v>0</v>
      </c>
      <c r="BF309" s="34">
        <f>309</f>
        <v>309</v>
      </c>
      <c r="BH309" s="18">
        <f>G309*AO309</f>
        <v>0</v>
      </c>
      <c r="BI309" s="18">
        <f>G309*AP309</f>
        <v>0</v>
      </c>
      <c r="BJ309" s="18">
        <f>G309*H309</f>
        <v>0</v>
      </c>
    </row>
    <row r="310" spans="3:7" ht="12.75">
      <c r="C310" s="101" t="s">
        <v>775</v>
      </c>
      <c r="D310" s="102"/>
      <c r="E310" s="102"/>
      <c r="G310" s="64">
        <v>1.555</v>
      </c>
    </row>
    <row r="311" spans="1:62" ht="12.75">
      <c r="A311" s="5" t="s">
        <v>134</v>
      </c>
      <c r="B311" s="5" t="s">
        <v>456</v>
      </c>
      <c r="C311" s="99" t="s">
        <v>776</v>
      </c>
      <c r="D311" s="100"/>
      <c r="E311" s="100"/>
      <c r="F311" s="5" t="s">
        <v>987</v>
      </c>
      <c r="G311" s="63">
        <v>1.555</v>
      </c>
      <c r="H311" s="18">
        <v>0</v>
      </c>
      <c r="I311" s="18">
        <f>G311*AO311</f>
        <v>0</v>
      </c>
      <c r="J311" s="18">
        <f>G311*AP311</f>
        <v>0</v>
      </c>
      <c r="K311" s="18">
        <f>G311*H311</f>
        <v>0</v>
      </c>
      <c r="L311" s="29"/>
      <c r="Z311" s="34">
        <f>IF(AQ311="5",BJ311,0)</f>
        <v>0</v>
      </c>
      <c r="AB311" s="34">
        <f>IF(AQ311="1",BH311,0)</f>
        <v>0</v>
      </c>
      <c r="AC311" s="34">
        <f>IF(AQ311="1",BI311,0)</f>
        <v>0</v>
      </c>
      <c r="AD311" s="34">
        <f>IF(AQ311="7",BH311,0)</f>
        <v>0</v>
      </c>
      <c r="AE311" s="34">
        <f>IF(AQ311="7",BI311,0)</f>
        <v>0</v>
      </c>
      <c r="AF311" s="34">
        <f>IF(AQ311="2",BH311,0)</f>
        <v>0</v>
      </c>
      <c r="AG311" s="34">
        <f>IF(AQ311="2",BI311,0)</f>
        <v>0</v>
      </c>
      <c r="AH311" s="34">
        <f>IF(AQ311="0",BJ311,0)</f>
        <v>0</v>
      </c>
      <c r="AI311" s="28" t="s">
        <v>1020</v>
      </c>
      <c r="AJ311" s="18">
        <f>IF(AN311=0,K311,0)</f>
        <v>0</v>
      </c>
      <c r="AK311" s="18">
        <f>IF(AN311=15,K311,0)</f>
        <v>0</v>
      </c>
      <c r="AL311" s="18">
        <f>IF(AN311=21,K311,0)</f>
        <v>0</v>
      </c>
      <c r="AN311" s="34">
        <v>21</v>
      </c>
      <c r="AO311" s="34">
        <f>H311*0</f>
        <v>0</v>
      </c>
      <c r="AP311" s="34">
        <f>H311*(1-0)</f>
        <v>0</v>
      </c>
      <c r="AQ311" s="29" t="s">
        <v>10</v>
      </c>
      <c r="AV311" s="34">
        <f>AW311+AX311</f>
        <v>0</v>
      </c>
      <c r="AW311" s="34">
        <f>G311*AO311</f>
        <v>0</v>
      </c>
      <c r="AX311" s="34">
        <f>G311*AP311</f>
        <v>0</v>
      </c>
      <c r="AY311" s="35" t="s">
        <v>1051</v>
      </c>
      <c r="AZ311" s="35" t="s">
        <v>1070</v>
      </c>
      <c r="BA311" s="28" t="s">
        <v>1085</v>
      </c>
      <c r="BC311" s="34">
        <f>AW311+AX311</f>
        <v>0</v>
      </c>
      <c r="BD311" s="34">
        <f>H311/(100-BE311)*100</f>
        <v>0</v>
      </c>
      <c r="BE311" s="34">
        <v>0</v>
      </c>
      <c r="BF311" s="34">
        <f>311</f>
        <v>311</v>
      </c>
      <c r="BH311" s="18">
        <f>G311*AO311</f>
        <v>0</v>
      </c>
      <c r="BI311" s="18">
        <f>G311*AP311</f>
        <v>0</v>
      </c>
      <c r="BJ311" s="18">
        <f>G311*H311</f>
        <v>0</v>
      </c>
    </row>
    <row r="312" spans="3:7" ht="12.75">
      <c r="C312" s="101" t="s">
        <v>775</v>
      </c>
      <c r="D312" s="102"/>
      <c r="E312" s="102"/>
      <c r="G312" s="64">
        <v>1.555</v>
      </c>
    </row>
    <row r="313" spans="1:62" ht="12.75">
      <c r="A313" s="5" t="s">
        <v>135</v>
      </c>
      <c r="B313" s="5" t="s">
        <v>457</v>
      </c>
      <c r="C313" s="99" t="s">
        <v>777</v>
      </c>
      <c r="D313" s="100"/>
      <c r="E313" s="100"/>
      <c r="F313" s="5" t="s">
        <v>987</v>
      </c>
      <c r="G313" s="63">
        <v>1.238</v>
      </c>
      <c r="H313" s="18">
        <v>0</v>
      </c>
      <c r="I313" s="18">
        <f>G313*AO313</f>
        <v>0</v>
      </c>
      <c r="J313" s="18">
        <f>G313*AP313</f>
        <v>0</v>
      </c>
      <c r="K313" s="18">
        <f>G313*H313</f>
        <v>0</v>
      </c>
      <c r="L313" s="29"/>
      <c r="Z313" s="34">
        <f>IF(AQ313="5",BJ313,0)</f>
        <v>0</v>
      </c>
      <c r="AB313" s="34">
        <f>IF(AQ313="1",BH313,0)</f>
        <v>0</v>
      </c>
      <c r="AC313" s="34">
        <f>IF(AQ313="1",BI313,0)</f>
        <v>0</v>
      </c>
      <c r="AD313" s="34">
        <f>IF(AQ313="7",BH313,0)</f>
        <v>0</v>
      </c>
      <c r="AE313" s="34">
        <f>IF(AQ313="7",BI313,0)</f>
        <v>0</v>
      </c>
      <c r="AF313" s="34">
        <f>IF(AQ313="2",BH313,0)</f>
        <v>0</v>
      </c>
      <c r="AG313" s="34">
        <f>IF(AQ313="2",BI313,0)</f>
        <v>0</v>
      </c>
      <c r="AH313" s="34">
        <f>IF(AQ313="0",BJ313,0)</f>
        <v>0</v>
      </c>
      <c r="AI313" s="28" t="s">
        <v>1020</v>
      </c>
      <c r="AJ313" s="18">
        <f>IF(AN313=0,K313,0)</f>
        <v>0</v>
      </c>
      <c r="AK313" s="18">
        <f>IF(AN313=15,K313,0)</f>
        <v>0</v>
      </c>
      <c r="AL313" s="18">
        <f>IF(AN313=21,K313,0)</f>
        <v>0</v>
      </c>
      <c r="AN313" s="34">
        <v>21</v>
      </c>
      <c r="AO313" s="34">
        <f>H313*0</f>
        <v>0</v>
      </c>
      <c r="AP313" s="34">
        <f>H313*(1-0)</f>
        <v>0</v>
      </c>
      <c r="AQ313" s="29" t="s">
        <v>10</v>
      </c>
      <c r="AV313" s="34">
        <f>AW313+AX313</f>
        <v>0</v>
      </c>
      <c r="AW313" s="34">
        <f>G313*AO313</f>
        <v>0</v>
      </c>
      <c r="AX313" s="34">
        <f>G313*AP313</f>
        <v>0</v>
      </c>
      <c r="AY313" s="35" t="s">
        <v>1051</v>
      </c>
      <c r="AZ313" s="35" t="s">
        <v>1070</v>
      </c>
      <c r="BA313" s="28" t="s">
        <v>1085</v>
      </c>
      <c r="BC313" s="34">
        <f>AW313+AX313</f>
        <v>0</v>
      </c>
      <c r="BD313" s="34">
        <f>H313/(100-BE313)*100</f>
        <v>0</v>
      </c>
      <c r="BE313" s="34">
        <v>0</v>
      </c>
      <c r="BF313" s="34">
        <f>313</f>
        <v>313</v>
      </c>
      <c r="BH313" s="18">
        <f>G313*AO313</f>
        <v>0</v>
      </c>
      <c r="BI313" s="18">
        <f>G313*AP313</f>
        <v>0</v>
      </c>
      <c r="BJ313" s="18">
        <f>G313*H313</f>
        <v>0</v>
      </c>
    </row>
    <row r="314" spans="3:7" ht="12.75">
      <c r="C314" s="101" t="s">
        <v>778</v>
      </c>
      <c r="D314" s="102"/>
      <c r="E314" s="102"/>
      <c r="G314" s="64">
        <v>1.238</v>
      </c>
    </row>
    <row r="315" spans="1:62" ht="12.75">
      <c r="A315" s="5" t="s">
        <v>136</v>
      </c>
      <c r="B315" s="5" t="s">
        <v>458</v>
      </c>
      <c r="C315" s="99" t="s">
        <v>779</v>
      </c>
      <c r="D315" s="100"/>
      <c r="E315" s="100"/>
      <c r="F315" s="5" t="s">
        <v>987</v>
      </c>
      <c r="G315" s="63">
        <v>0.052</v>
      </c>
      <c r="H315" s="18">
        <v>0</v>
      </c>
      <c r="I315" s="18">
        <f>G315*AO315</f>
        <v>0</v>
      </c>
      <c r="J315" s="18">
        <f>G315*AP315</f>
        <v>0</v>
      </c>
      <c r="K315" s="18">
        <f>G315*H315</f>
        <v>0</v>
      </c>
      <c r="L315" s="29"/>
      <c r="Z315" s="34">
        <f>IF(AQ315="5",BJ315,0)</f>
        <v>0</v>
      </c>
      <c r="AB315" s="34">
        <f>IF(AQ315="1",BH315,0)</f>
        <v>0</v>
      </c>
      <c r="AC315" s="34">
        <f>IF(AQ315="1",BI315,0)</f>
        <v>0</v>
      </c>
      <c r="AD315" s="34">
        <f>IF(AQ315="7",BH315,0)</f>
        <v>0</v>
      </c>
      <c r="AE315" s="34">
        <f>IF(AQ315="7",BI315,0)</f>
        <v>0</v>
      </c>
      <c r="AF315" s="34">
        <f>IF(AQ315="2",BH315,0)</f>
        <v>0</v>
      </c>
      <c r="AG315" s="34">
        <f>IF(AQ315="2",BI315,0)</f>
        <v>0</v>
      </c>
      <c r="AH315" s="34">
        <f>IF(AQ315="0",BJ315,0)</f>
        <v>0</v>
      </c>
      <c r="AI315" s="28" t="s">
        <v>1020</v>
      </c>
      <c r="AJ315" s="18">
        <f>IF(AN315=0,K315,0)</f>
        <v>0</v>
      </c>
      <c r="AK315" s="18">
        <f>IF(AN315=15,K315,0)</f>
        <v>0</v>
      </c>
      <c r="AL315" s="18">
        <f>IF(AN315=21,K315,0)</f>
        <v>0</v>
      </c>
      <c r="AN315" s="34">
        <v>21</v>
      </c>
      <c r="AO315" s="34">
        <f>H315*0</f>
        <v>0</v>
      </c>
      <c r="AP315" s="34">
        <f>H315*(1-0)</f>
        <v>0</v>
      </c>
      <c r="AQ315" s="29" t="s">
        <v>10</v>
      </c>
      <c r="AV315" s="34">
        <f>AW315+AX315</f>
        <v>0</v>
      </c>
      <c r="AW315" s="34">
        <f>G315*AO315</f>
        <v>0</v>
      </c>
      <c r="AX315" s="34">
        <f>G315*AP315</f>
        <v>0</v>
      </c>
      <c r="AY315" s="35" t="s">
        <v>1051</v>
      </c>
      <c r="AZ315" s="35" t="s">
        <v>1070</v>
      </c>
      <c r="BA315" s="28" t="s">
        <v>1085</v>
      </c>
      <c r="BC315" s="34">
        <f>AW315+AX315</f>
        <v>0</v>
      </c>
      <c r="BD315" s="34">
        <f>H315/(100-BE315)*100</f>
        <v>0</v>
      </c>
      <c r="BE315" s="34">
        <v>0</v>
      </c>
      <c r="BF315" s="34">
        <f>315</f>
        <v>315</v>
      </c>
      <c r="BH315" s="18">
        <f>G315*AO315</f>
        <v>0</v>
      </c>
      <c r="BI315" s="18">
        <f>G315*AP315</f>
        <v>0</v>
      </c>
      <c r="BJ315" s="18">
        <f>G315*H315</f>
        <v>0</v>
      </c>
    </row>
    <row r="316" spans="3:7" ht="12.75">
      <c r="C316" s="101" t="s">
        <v>780</v>
      </c>
      <c r="D316" s="102"/>
      <c r="E316" s="102"/>
      <c r="G316" s="64">
        <v>0.052</v>
      </c>
    </row>
    <row r="317" spans="1:62" ht="12.75">
      <c r="A317" s="5" t="s">
        <v>137</v>
      </c>
      <c r="B317" s="5" t="s">
        <v>459</v>
      </c>
      <c r="C317" s="99" t="s">
        <v>781</v>
      </c>
      <c r="D317" s="100"/>
      <c r="E317" s="100"/>
      <c r="F317" s="5" t="s">
        <v>987</v>
      </c>
      <c r="G317" s="63">
        <v>0.106</v>
      </c>
      <c r="H317" s="18">
        <v>0</v>
      </c>
      <c r="I317" s="18">
        <f>G317*AO317</f>
        <v>0</v>
      </c>
      <c r="J317" s="18">
        <f>G317*AP317</f>
        <v>0</v>
      </c>
      <c r="K317" s="18">
        <f>G317*H317</f>
        <v>0</v>
      </c>
      <c r="L317" s="29"/>
      <c r="Z317" s="34">
        <f>IF(AQ317="5",BJ317,0)</f>
        <v>0</v>
      </c>
      <c r="AB317" s="34">
        <f>IF(AQ317="1",BH317,0)</f>
        <v>0</v>
      </c>
      <c r="AC317" s="34">
        <f>IF(AQ317="1",BI317,0)</f>
        <v>0</v>
      </c>
      <c r="AD317" s="34">
        <f>IF(AQ317="7",BH317,0)</f>
        <v>0</v>
      </c>
      <c r="AE317" s="34">
        <f>IF(AQ317="7",BI317,0)</f>
        <v>0</v>
      </c>
      <c r="AF317" s="34">
        <f>IF(AQ317="2",BH317,0)</f>
        <v>0</v>
      </c>
      <c r="AG317" s="34">
        <f>IF(AQ317="2",BI317,0)</f>
        <v>0</v>
      </c>
      <c r="AH317" s="34">
        <f>IF(AQ317="0",BJ317,0)</f>
        <v>0</v>
      </c>
      <c r="AI317" s="28" t="s">
        <v>1020</v>
      </c>
      <c r="AJ317" s="18">
        <f>IF(AN317=0,K317,0)</f>
        <v>0</v>
      </c>
      <c r="AK317" s="18">
        <f>IF(AN317=15,K317,0)</f>
        <v>0</v>
      </c>
      <c r="AL317" s="18">
        <f>IF(AN317=21,K317,0)</f>
        <v>0</v>
      </c>
      <c r="AN317" s="34">
        <v>21</v>
      </c>
      <c r="AO317" s="34">
        <f>H317*0</f>
        <v>0</v>
      </c>
      <c r="AP317" s="34">
        <f>H317*(1-0)</f>
        <v>0</v>
      </c>
      <c r="AQ317" s="29" t="s">
        <v>10</v>
      </c>
      <c r="AV317" s="34">
        <f>AW317+AX317</f>
        <v>0</v>
      </c>
      <c r="AW317" s="34">
        <f>G317*AO317</f>
        <v>0</v>
      </c>
      <c r="AX317" s="34">
        <f>G317*AP317</f>
        <v>0</v>
      </c>
      <c r="AY317" s="35" t="s">
        <v>1051</v>
      </c>
      <c r="AZ317" s="35" t="s">
        <v>1070</v>
      </c>
      <c r="BA317" s="28" t="s">
        <v>1085</v>
      </c>
      <c r="BC317" s="34">
        <f>AW317+AX317</f>
        <v>0</v>
      </c>
      <c r="BD317" s="34">
        <f>H317/(100-BE317)*100</f>
        <v>0</v>
      </c>
      <c r="BE317" s="34">
        <v>0</v>
      </c>
      <c r="BF317" s="34">
        <f>317</f>
        <v>317</v>
      </c>
      <c r="BH317" s="18">
        <f>G317*AO317</f>
        <v>0</v>
      </c>
      <c r="BI317" s="18">
        <f>G317*AP317</f>
        <v>0</v>
      </c>
      <c r="BJ317" s="18">
        <f>G317*H317</f>
        <v>0</v>
      </c>
    </row>
    <row r="318" spans="3:7" ht="12.75">
      <c r="C318" s="101" t="s">
        <v>782</v>
      </c>
      <c r="D318" s="102"/>
      <c r="E318" s="102"/>
      <c r="G318" s="64">
        <v>0.106</v>
      </c>
    </row>
    <row r="319" spans="1:12" ht="12.75">
      <c r="A319" s="7"/>
      <c r="B319" s="15"/>
      <c r="C319" s="105" t="s">
        <v>783</v>
      </c>
      <c r="D319" s="106"/>
      <c r="E319" s="106"/>
      <c r="F319" s="7" t="s">
        <v>5</v>
      </c>
      <c r="G319" s="7" t="s">
        <v>5</v>
      </c>
      <c r="H319" s="7" t="s">
        <v>5</v>
      </c>
      <c r="I319" s="38">
        <f>I320+I336+I343+I350+I387+I392+I395+I398+I401+I404+I411+I414+I418+I434+I445+I448+I506+I513+I529+I544+I554+I561+I572+I596+I622+I629+I639+I642+I645+I649+I670+I679+I686+I688+I715+I730</f>
        <v>0</v>
      </c>
      <c r="J319" s="38">
        <f>J320+J336+J343+J350+J387+J392+J395+J398+J401+J404+J411+J414+J418+J434+J445+J448+J506+J513+J529+J544+J554+J561+J572+J596+J622+J629+J639+J642+J645+J649+J670+J679+J686+J688+J715+J730</f>
        <v>0</v>
      </c>
      <c r="K319" s="38">
        <f>K320+K336+K343+K350+K387+K392+K395+K398+K401+K404+K411+K414+K418+K434+K445+K448+K506+K513+K529+K544+K554+K561+K572+K596+K622+K629+K639+K642+K645+K649+K670+K679+K686+K688+K715+K730</f>
        <v>0</v>
      </c>
      <c r="L319" s="31"/>
    </row>
    <row r="320" spans="1:47" ht="12.75">
      <c r="A320" s="4"/>
      <c r="B320" s="14" t="s">
        <v>16</v>
      </c>
      <c r="C320" s="97" t="s">
        <v>532</v>
      </c>
      <c r="D320" s="98"/>
      <c r="E320" s="98"/>
      <c r="F320" s="4" t="s">
        <v>5</v>
      </c>
      <c r="G320" s="4" t="s">
        <v>5</v>
      </c>
      <c r="H320" s="4" t="s">
        <v>5</v>
      </c>
      <c r="I320" s="37">
        <f>SUM(I321:I334)</f>
        <v>0</v>
      </c>
      <c r="J320" s="37">
        <f>SUM(J321:J334)</f>
        <v>0</v>
      </c>
      <c r="K320" s="37">
        <f>SUM(K321:K334)</f>
        <v>0</v>
      </c>
      <c r="L320" s="28"/>
      <c r="AI320" s="28" t="s">
        <v>1021</v>
      </c>
      <c r="AS320" s="37">
        <f>SUM(AJ321:AJ334)</f>
        <v>0</v>
      </c>
      <c r="AT320" s="37">
        <f>SUM(AK321:AK334)</f>
        <v>0</v>
      </c>
      <c r="AU320" s="37">
        <f>SUM(AL321:AL334)</f>
        <v>0</v>
      </c>
    </row>
    <row r="321" spans="1:62" ht="12.75">
      <c r="A321" s="5" t="s">
        <v>138</v>
      </c>
      <c r="B321" s="5" t="s">
        <v>323</v>
      </c>
      <c r="C321" s="99" t="s">
        <v>533</v>
      </c>
      <c r="D321" s="100"/>
      <c r="E321" s="100"/>
      <c r="F321" s="5" t="s">
        <v>984</v>
      </c>
      <c r="G321" s="63">
        <v>53.69</v>
      </c>
      <c r="H321" s="18">
        <v>0</v>
      </c>
      <c r="I321" s="18">
        <f>G321*AO321</f>
        <v>0</v>
      </c>
      <c r="J321" s="18">
        <f>G321*AP321</f>
        <v>0</v>
      </c>
      <c r="K321" s="18">
        <f>G321*H321</f>
        <v>0</v>
      </c>
      <c r="L321" s="29"/>
      <c r="Z321" s="34">
        <f>IF(AQ321="5",BJ321,0)</f>
        <v>0</v>
      </c>
      <c r="AB321" s="34">
        <f>IF(AQ321="1",BH321,0)</f>
        <v>0</v>
      </c>
      <c r="AC321" s="34">
        <f>IF(AQ321="1",BI321,0)</f>
        <v>0</v>
      </c>
      <c r="AD321" s="34">
        <f>IF(AQ321="7",BH321,0)</f>
        <v>0</v>
      </c>
      <c r="AE321" s="34">
        <f>IF(AQ321="7",BI321,0)</f>
        <v>0</v>
      </c>
      <c r="AF321" s="34">
        <f>IF(AQ321="2",BH321,0)</f>
        <v>0</v>
      </c>
      <c r="AG321" s="34">
        <f>IF(AQ321="2",BI321,0)</f>
        <v>0</v>
      </c>
      <c r="AH321" s="34">
        <f>IF(AQ321="0",BJ321,0)</f>
        <v>0</v>
      </c>
      <c r="AI321" s="28" t="s">
        <v>1021</v>
      </c>
      <c r="AJ321" s="18">
        <f>IF(AN321=0,K321,0)</f>
        <v>0</v>
      </c>
      <c r="AK321" s="18">
        <f>IF(AN321=15,K321,0)</f>
        <v>0</v>
      </c>
      <c r="AL321" s="18">
        <f>IF(AN321=21,K321,0)</f>
        <v>0</v>
      </c>
      <c r="AN321" s="34">
        <v>21</v>
      </c>
      <c r="AO321" s="34">
        <f>H321*0</f>
        <v>0</v>
      </c>
      <c r="AP321" s="34">
        <f>H321*(1-0)</f>
        <v>0</v>
      </c>
      <c r="AQ321" s="29" t="s">
        <v>6</v>
      </c>
      <c r="AV321" s="34">
        <f>AW321+AX321</f>
        <v>0</v>
      </c>
      <c r="AW321" s="34">
        <f>G321*AO321</f>
        <v>0</v>
      </c>
      <c r="AX321" s="34">
        <f>G321*AP321</f>
        <v>0</v>
      </c>
      <c r="AY321" s="35" t="s">
        <v>1024</v>
      </c>
      <c r="AZ321" s="35" t="s">
        <v>1071</v>
      </c>
      <c r="BA321" s="28" t="s">
        <v>1086</v>
      </c>
      <c r="BC321" s="34">
        <f>AW321+AX321</f>
        <v>0</v>
      </c>
      <c r="BD321" s="34">
        <f>H321/(100-BE321)*100</f>
        <v>0</v>
      </c>
      <c r="BE321" s="34">
        <v>0</v>
      </c>
      <c r="BF321" s="34">
        <f>321</f>
        <v>321</v>
      </c>
      <c r="BH321" s="18">
        <f>G321*AO321</f>
        <v>0</v>
      </c>
      <c r="BI321" s="18">
        <f>G321*AP321</f>
        <v>0</v>
      </c>
      <c r="BJ321" s="18">
        <f>G321*H321</f>
        <v>0</v>
      </c>
    </row>
    <row r="322" spans="3:7" ht="12.75">
      <c r="C322" s="101" t="s">
        <v>784</v>
      </c>
      <c r="D322" s="102"/>
      <c r="E322" s="102"/>
      <c r="G322" s="64">
        <v>23.15</v>
      </c>
    </row>
    <row r="323" spans="3:7" ht="12.75">
      <c r="C323" s="101" t="s">
        <v>785</v>
      </c>
      <c r="D323" s="102"/>
      <c r="E323" s="102"/>
      <c r="G323" s="64">
        <v>30.54</v>
      </c>
    </row>
    <row r="324" spans="1:62" ht="12.75">
      <c r="A324" s="5" t="s">
        <v>139</v>
      </c>
      <c r="B324" s="5" t="s">
        <v>460</v>
      </c>
      <c r="C324" s="99" t="s">
        <v>786</v>
      </c>
      <c r="D324" s="100"/>
      <c r="E324" s="100"/>
      <c r="F324" s="5" t="s">
        <v>984</v>
      </c>
      <c r="G324" s="63">
        <v>55.8</v>
      </c>
      <c r="H324" s="18">
        <v>0</v>
      </c>
      <c r="I324" s="18">
        <f>G324*AO324</f>
        <v>0</v>
      </c>
      <c r="J324" s="18">
        <f>G324*AP324</f>
        <v>0</v>
      </c>
      <c r="K324" s="18">
        <f>G324*H324</f>
        <v>0</v>
      </c>
      <c r="L324" s="29"/>
      <c r="Z324" s="34">
        <f>IF(AQ324="5",BJ324,0)</f>
        <v>0</v>
      </c>
      <c r="AB324" s="34">
        <f>IF(AQ324="1",BH324,0)</f>
        <v>0</v>
      </c>
      <c r="AC324" s="34">
        <f>IF(AQ324="1",BI324,0)</f>
        <v>0</v>
      </c>
      <c r="AD324" s="34">
        <f>IF(AQ324="7",BH324,0)</f>
        <v>0</v>
      </c>
      <c r="AE324" s="34">
        <f>IF(AQ324="7",BI324,0)</f>
        <v>0</v>
      </c>
      <c r="AF324" s="34">
        <f>IF(AQ324="2",BH324,0)</f>
        <v>0</v>
      </c>
      <c r="AG324" s="34">
        <f>IF(AQ324="2",BI324,0)</f>
        <v>0</v>
      </c>
      <c r="AH324" s="34">
        <f>IF(AQ324="0",BJ324,0)</f>
        <v>0</v>
      </c>
      <c r="AI324" s="28" t="s">
        <v>1021</v>
      </c>
      <c r="AJ324" s="18">
        <f>IF(AN324=0,K324,0)</f>
        <v>0</v>
      </c>
      <c r="AK324" s="18">
        <f>IF(AN324=15,K324,0)</f>
        <v>0</v>
      </c>
      <c r="AL324" s="18">
        <f>IF(AN324=21,K324,0)</f>
        <v>0</v>
      </c>
      <c r="AN324" s="34">
        <v>21</v>
      </c>
      <c r="AO324" s="34">
        <f>H324*0</f>
        <v>0</v>
      </c>
      <c r="AP324" s="34">
        <f>H324*(1-0)</f>
        <v>0</v>
      </c>
      <c r="AQ324" s="29" t="s">
        <v>6</v>
      </c>
      <c r="AV324" s="34">
        <f>AW324+AX324</f>
        <v>0</v>
      </c>
      <c r="AW324" s="34">
        <f>G324*AO324</f>
        <v>0</v>
      </c>
      <c r="AX324" s="34">
        <f>G324*AP324</f>
        <v>0</v>
      </c>
      <c r="AY324" s="35" t="s">
        <v>1024</v>
      </c>
      <c r="AZ324" s="35" t="s">
        <v>1071</v>
      </c>
      <c r="BA324" s="28" t="s">
        <v>1086</v>
      </c>
      <c r="BC324" s="34">
        <f>AW324+AX324</f>
        <v>0</v>
      </c>
      <c r="BD324" s="34">
        <f>H324/(100-BE324)*100</f>
        <v>0</v>
      </c>
      <c r="BE324" s="34">
        <v>0</v>
      </c>
      <c r="BF324" s="34">
        <f>324</f>
        <v>324</v>
      </c>
      <c r="BH324" s="18">
        <f>G324*AO324</f>
        <v>0</v>
      </c>
      <c r="BI324" s="18">
        <f>G324*AP324</f>
        <v>0</v>
      </c>
      <c r="BJ324" s="18">
        <f>G324*H324</f>
        <v>0</v>
      </c>
    </row>
    <row r="325" spans="3:7" ht="12.75">
      <c r="C325" s="101" t="s">
        <v>787</v>
      </c>
      <c r="D325" s="102"/>
      <c r="E325" s="102"/>
      <c r="G325" s="64">
        <v>55.8</v>
      </c>
    </row>
    <row r="326" spans="1:62" ht="12.75">
      <c r="A326" s="5" t="s">
        <v>140</v>
      </c>
      <c r="B326" s="5" t="s">
        <v>461</v>
      </c>
      <c r="C326" s="99" t="s">
        <v>788</v>
      </c>
      <c r="D326" s="100"/>
      <c r="E326" s="100"/>
      <c r="F326" s="5" t="s">
        <v>988</v>
      </c>
      <c r="G326" s="63">
        <v>6</v>
      </c>
      <c r="H326" s="18">
        <v>0</v>
      </c>
      <c r="I326" s="18">
        <f>G326*AO326</f>
        <v>0</v>
      </c>
      <c r="J326" s="18">
        <f>G326*AP326</f>
        <v>0</v>
      </c>
      <c r="K326" s="18">
        <f>G326*H326</f>
        <v>0</v>
      </c>
      <c r="L326" s="29"/>
      <c r="Z326" s="34">
        <f>IF(AQ326="5",BJ326,0)</f>
        <v>0</v>
      </c>
      <c r="AB326" s="34">
        <f>IF(AQ326="1",BH326,0)</f>
        <v>0</v>
      </c>
      <c r="AC326" s="34">
        <f>IF(AQ326="1",BI326,0)</f>
        <v>0</v>
      </c>
      <c r="AD326" s="34">
        <f>IF(AQ326="7",BH326,0)</f>
        <v>0</v>
      </c>
      <c r="AE326" s="34">
        <f>IF(AQ326="7",BI326,0)</f>
        <v>0</v>
      </c>
      <c r="AF326" s="34">
        <f>IF(AQ326="2",BH326,0)</f>
        <v>0</v>
      </c>
      <c r="AG326" s="34">
        <f>IF(AQ326="2",BI326,0)</f>
        <v>0</v>
      </c>
      <c r="AH326" s="34">
        <f>IF(AQ326="0",BJ326,0)</f>
        <v>0</v>
      </c>
      <c r="AI326" s="28" t="s">
        <v>1021</v>
      </c>
      <c r="AJ326" s="18">
        <f>IF(AN326=0,K326,0)</f>
        <v>0</v>
      </c>
      <c r="AK326" s="18">
        <f>IF(AN326=15,K326,0)</f>
        <v>0</v>
      </c>
      <c r="AL326" s="18">
        <f>IF(AN326=21,K326,0)</f>
        <v>0</v>
      </c>
      <c r="AN326" s="34">
        <v>21</v>
      </c>
      <c r="AO326" s="34">
        <f>H326*0.00723404255319149</f>
        <v>0</v>
      </c>
      <c r="AP326" s="34">
        <f>H326*(1-0.00723404255319149)</f>
        <v>0</v>
      </c>
      <c r="AQ326" s="29" t="s">
        <v>6</v>
      </c>
      <c r="AV326" s="34">
        <f>AW326+AX326</f>
        <v>0</v>
      </c>
      <c r="AW326" s="34">
        <f>G326*AO326</f>
        <v>0</v>
      </c>
      <c r="AX326" s="34">
        <f>G326*AP326</f>
        <v>0</v>
      </c>
      <c r="AY326" s="35" t="s">
        <v>1024</v>
      </c>
      <c r="AZ326" s="35" t="s">
        <v>1071</v>
      </c>
      <c r="BA326" s="28" t="s">
        <v>1086</v>
      </c>
      <c r="BC326" s="34">
        <f>AW326+AX326</f>
        <v>0</v>
      </c>
      <c r="BD326" s="34">
        <f>H326/(100-BE326)*100</f>
        <v>0</v>
      </c>
      <c r="BE326" s="34">
        <v>0</v>
      </c>
      <c r="BF326" s="34">
        <f>326</f>
        <v>326</v>
      </c>
      <c r="BH326" s="18">
        <f>G326*AO326</f>
        <v>0</v>
      </c>
      <c r="BI326" s="18">
        <f>G326*AP326</f>
        <v>0</v>
      </c>
      <c r="BJ326" s="18">
        <f>G326*H326</f>
        <v>0</v>
      </c>
    </row>
    <row r="327" spans="3:7" ht="12.75">
      <c r="C327" s="101" t="s">
        <v>11</v>
      </c>
      <c r="D327" s="102"/>
      <c r="E327" s="102"/>
      <c r="G327" s="64">
        <v>6</v>
      </c>
    </row>
    <row r="328" spans="1:62" ht="12.75">
      <c r="A328" s="5" t="s">
        <v>141</v>
      </c>
      <c r="B328" s="5" t="s">
        <v>462</v>
      </c>
      <c r="C328" s="99" t="s">
        <v>789</v>
      </c>
      <c r="D328" s="100"/>
      <c r="E328" s="100"/>
      <c r="F328" s="5" t="s">
        <v>984</v>
      </c>
      <c r="G328" s="63">
        <v>97.24</v>
      </c>
      <c r="H328" s="18">
        <v>0</v>
      </c>
      <c r="I328" s="18">
        <f>G328*AO328</f>
        <v>0</v>
      </c>
      <c r="J328" s="18">
        <f>G328*AP328</f>
        <v>0</v>
      </c>
      <c r="K328" s="18">
        <f>G328*H328</f>
        <v>0</v>
      </c>
      <c r="L328" s="29"/>
      <c r="Z328" s="34">
        <f>IF(AQ328="5",BJ328,0)</f>
        <v>0</v>
      </c>
      <c r="AB328" s="34">
        <f>IF(AQ328="1",BH328,0)</f>
        <v>0</v>
      </c>
      <c r="AC328" s="34">
        <f>IF(AQ328="1",BI328,0)</f>
        <v>0</v>
      </c>
      <c r="AD328" s="34">
        <f>IF(AQ328="7",BH328,0)</f>
        <v>0</v>
      </c>
      <c r="AE328" s="34">
        <f>IF(AQ328="7",BI328,0)</f>
        <v>0</v>
      </c>
      <c r="AF328" s="34">
        <f>IF(AQ328="2",BH328,0)</f>
        <v>0</v>
      </c>
      <c r="AG328" s="34">
        <f>IF(AQ328="2",BI328,0)</f>
        <v>0</v>
      </c>
      <c r="AH328" s="34">
        <f>IF(AQ328="0",BJ328,0)</f>
        <v>0</v>
      </c>
      <c r="AI328" s="28" t="s">
        <v>1021</v>
      </c>
      <c r="AJ328" s="18">
        <f>IF(AN328=0,K328,0)</f>
        <v>0</v>
      </c>
      <c r="AK328" s="18">
        <f>IF(AN328=15,K328,0)</f>
        <v>0</v>
      </c>
      <c r="AL328" s="18">
        <f>IF(AN328=21,K328,0)</f>
        <v>0</v>
      </c>
      <c r="AN328" s="34">
        <v>21</v>
      </c>
      <c r="AO328" s="34">
        <f>H328*0</f>
        <v>0</v>
      </c>
      <c r="AP328" s="34">
        <f>H328*(1-0)</f>
        <v>0</v>
      </c>
      <c r="AQ328" s="29" t="s">
        <v>6</v>
      </c>
      <c r="AV328" s="34">
        <f>AW328+AX328</f>
        <v>0</v>
      </c>
      <c r="AW328" s="34">
        <f>G328*AO328</f>
        <v>0</v>
      </c>
      <c r="AX328" s="34">
        <f>G328*AP328</f>
        <v>0</v>
      </c>
      <c r="AY328" s="35" t="s">
        <v>1024</v>
      </c>
      <c r="AZ328" s="35" t="s">
        <v>1071</v>
      </c>
      <c r="BA328" s="28" t="s">
        <v>1086</v>
      </c>
      <c r="BC328" s="34">
        <f>AW328+AX328</f>
        <v>0</v>
      </c>
      <c r="BD328" s="34">
        <f>H328/(100-BE328)*100</f>
        <v>0</v>
      </c>
      <c r="BE328" s="34">
        <v>0</v>
      </c>
      <c r="BF328" s="34">
        <f>328</f>
        <v>328</v>
      </c>
      <c r="BH328" s="18">
        <f>G328*AO328</f>
        <v>0</v>
      </c>
      <c r="BI328" s="18">
        <f>G328*AP328</f>
        <v>0</v>
      </c>
      <c r="BJ328" s="18">
        <f>G328*H328</f>
        <v>0</v>
      </c>
    </row>
    <row r="329" spans="3:7" ht="12.75">
      <c r="C329" s="101" t="s">
        <v>790</v>
      </c>
      <c r="D329" s="102"/>
      <c r="E329" s="102"/>
      <c r="G329" s="64">
        <v>10.9</v>
      </c>
    </row>
    <row r="330" spans="3:7" ht="12.75">
      <c r="C330" s="101" t="s">
        <v>785</v>
      </c>
      <c r="D330" s="102"/>
      <c r="E330" s="102"/>
      <c r="G330" s="64">
        <v>30.54</v>
      </c>
    </row>
    <row r="331" spans="3:7" ht="12.75">
      <c r="C331" s="101" t="s">
        <v>787</v>
      </c>
      <c r="D331" s="102"/>
      <c r="E331" s="102"/>
      <c r="G331" s="64">
        <v>55.8</v>
      </c>
    </row>
    <row r="332" spans="1:62" ht="12.75">
      <c r="A332" s="5" t="s">
        <v>142</v>
      </c>
      <c r="B332" s="5" t="s">
        <v>463</v>
      </c>
      <c r="C332" s="99" t="s">
        <v>791</v>
      </c>
      <c r="D332" s="100"/>
      <c r="E332" s="100"/>
      <c r="F332" s="5" t="s">
        <v>986</v>
      </c>
      <c r="G332" s="63">
        <v>17</v>
      </c>
      <c r="H332" s="18">
        <v>0</v>
      </c>
      <c r="I332" s="18">
        <f>G332*AO332</f>
        <v>0</v>
      </c>
      <c r="J332" s="18">
        <f>G332*AP332</f>
        <v>0</v>
      </c>
      <c r="K332" s="18">
        <f>G332*H332</f>
        <v>0</v>
      </c>
      <c r="L332" s="29"/>
      <c r="Z332" s="34">
        <f>IF(AQ332="5",BJ332,0)</f>
        <v>0</v>
      </c>
      <c r="AB332" s="34">
        <f>IF(AQ332="1",BH332,0)</f>
        <v>0</v>
      </c>
      <c r="AC332" s="34">
        <f>IF(AQ332="1",BI332,0)</f>
        <v>0</v>
      </c>
      <c r="AD332" s="34">
        <f>IF(AQ332="7",BH332,0)</f>
        <v>0</v>
      </c>
      <c r="AE332" s="34">
        <f>IF(AQ332="7",BI332,0)</f>
        <v>0</v>
      </c>
      <c r="AF332" s="34">
        <f>IF(AQ332="2",BH332,0)</f>
        <v>0</v>
      </c>
      <c r="AG332" s="34">
        <f>IF(AQ332="2",BI332,0)</f>
        <v>0</v>
      </c>
      <c r="AH332" s="34">
        <f>IF(AQ332="0",BJ332,0)</f>
        <v>0</v>
      </c>
      <c r="AI332" s="28" t="s">
        <v>1021</v>
      </c>
      <c r="AJ332" s="18">
        <f>IF(AN332=0,K332,0)</f>
        <v>0</v>
      </c>
      <c r="AK332" s="18">
        <f>IF(AN332=15,K332,0)</f>
        <v>0</v>
      </c>
      <c r="AL332" s="18">
        <f>IF(AN332=21,K332,0)</f>
        <v>0</v>
      </c>
      <c r="AN332" s="34">
        <v>21</v>
      </c>
      <c r="AO332" s="34">
        <f>H332*0</f>
        <v>0</v>
      </c>
      <c r="AP332" s="34">
        <f>H332*(1-0)</f>
        <v>0</v>
      </c>
      <c r="AQ332" s="29" t="s">
        <v>6</v>
      </c>
      <c r="AV332" s="34">
        <f>AW332+AX332</f>
        <v>0</v>
      </c>
      <c r="AW332" s="34">
        <f>G332*AO332</f>
        <v>0</v>
      </c>
      <c r="AX332" s="34">
        <f>G332*AP332</f>
        <v>0</v>
      </c>
      <c r="AY332" s="35" t="s">
        <v>1024</v>
      </c>
      <c r="AZ332" s="35" t="s">
        <v>1071</v>
      </c>
      <c r="BA332" s="28" t="s">
        <v>1086</v>
      </c>
      <c r="BC332" s="34">
        <f>AW332+AX332</f>
        <v>0</v>
      </c>
      <c r="BD332" s="34">
        <f>H332/(100-BE332)*100</f>
        <v>0</v>
      </c>
      <c r="BE332" s="34">
        <v>0</v>
      </c>
      <c r="BF332" s="34">
        <f>332</f>
        <v>332</v>
      </c>
      <c r="BH332" s="18">
        <f>G332*AO332</f>
        <v>0</v>
      </c>
      <c r="BI332" s="18">
        <f>G332*AP332</f>
        <v>0</v>
      </c>
      <c r="BJ332" s="18">
        <f>G332*H332</f>
        <v>0</v>
      </c>
    </row>
    <row r="333" spans="3:7" ht="12.75">
      <c r="C333" s="101" t="s">
        <v>792</v>
      </c>
      <c r="D333" s="102"/>
      <c r="E333" s="102"/>
      <c r="G333" s="64">
        <v>17</v>
      </c>
    </row>
    <row r="334" spans="1:62" ht="12.75">
      <c r="A334" s="5" t="s">
        <v>143</v>
      </c>
      <c r="B334" s="5" t="s">
        <v>464</v>
      </c>
      <c r="C334" s="99" t="s">
        <v>793</v>
      </c>
      <c r="D334" s="100"/>
      <c r="E334" s="100"/>
      <c r="F334" s="5" t="s">
        <v>984</v>
      </c>
      <c r="G334" s="63">
        <v>51.25</v>
      </c>
      <c r="H334" s="18">
        <v>0</v>
      </c>
      <c r="I334" s="18">
        <f>G334*AO334</f>
        <v>0</v>
      </c>
      <c r="J334" s="18">
        <f>G334*AP334</f>
        <v>0</v>
      </c>
      <c r="K334" s="18">
        <f>G334*H334</f>
        <v>0</v>
      </c>
      <c r="L334" s="29"/>
      <c r="Z334" s="34">
        <f>IF(AQ334="5",BJ334,0)</f>
        <v>0</v>
      </c>
      <c r="AB334" s="34">
        <f>IF(AQ334="1",BH334,0)</f>
        <v>0</v>
      </c>
      <c r="AC334" s="34">
        <f>IF(AQ334="1",BI334,0)</f>
        <v>0</v>
      </c>
      <c r="AD334" s="34">
        <f>IF(AQ334="7",BH334,0)</f>
        <v>0</v>
      </c>
      <c r="AE334" s="34">
        <f>IF(AQ334="7",BI334,0)</f>
        <v>0</v>
      </c>
      <c r="AF334" s="34">
        <f>IF(AQ334="2",BH334,0)</f>
        <v>0</v>
      </c>
      <c r="AG334" s="34">
        <f>IF(AQ334="2",BI334,0)</f>
        <v>0</v>
      </c>
      <c r="AH334" s="34">
        <f>IF(AQ334="0",BJ334,0)</f>
        <v>0</v>
      </c>
      <c r="AI334" s="28" t="s">
        <v>1021</v>
      </c>
      <c r="AJ334" s="18">
        <f>IF(AN334=0,K334,0)</f>
        <v>0</v>
      </c>
      <c r="AK334" s="18">
        <f>IF(AN334=15,K334,0)</f>
        <v>0</v>
      </c>
      <c r="AL334" s="18">
        <f>IF(AN334=21,K334,0)</f>
        <v>0</v>
      </c>
      <c r="AN334" s="34">
        <v>21</v>
      </c>
      <c r="AO334" s="34">
        <f>H334*0</f>
        <v>0</v>
      </c>
      <c r="AP334" s="34">
        <f>H334*(1-0)</f>
        <v>0</v>
      </c>
      <c r="AQ334" s="29" t="s">
        <v>6</v>
      </c>
      <c r="AV334" s="34">
        <f>AW334+AX334</f>
        <v>0</v>
      </c>
      <c r="AW334" s="34">
        <f>G334*AO334</f>
        <v>0</v>
      </c>
      <c r="AX334" s="34">
        <f>G334*AP334</f>
        <v>0</v>
      </c>
      <c r="AY334" s="35" t="s">
        <v>1024</v>
      </c>
      <c r="AZ334" s="35" t="s">
        <v>1071</v>
      </c>
      <c r="BA334" s="28" t="s">
        <v>1086</v>
      </c>
      <c r="BC334" s="34">
        <f>AW334+AX334</f>
        <v>0</v>
      </c>
      <c r="BD334" s="34">
        <f>H334/(100-BE334)*100</f>
        <v>0</v>
      </c>
      <c r="BE334" s="34">
        <v>0</v>
      </c>
      <c r="BF334" s="34">
        <f>334</f>
        <v>334</v>
      </c>
      <c r="BH334" s="18">
        <f>G334*AO334</f>
        <v>0</v>
      </c>
      <c r="BI334" s="18">
        <f>G334*AP334</f>
        <v>0</v>
      </c>
      <c r="BJ334" s="18">
        <f>G334*H334</f>
        <v>0</v>
      </c>
    </row>
    <row r="335" spans="3:7" ht="12.75">
      <c r="C335" s="101" t="s">
        <v>794</v>
      </c>
      <c r="D335" s="102"/>
      <c r="E335" s="102"/>
      <c r="G335" s="64">
        <v>51.25</v>
      </c>
    </row>
    <row r="336" spans="1:47" ht="12.75">
      <c r="A336" s="4"/>
      <c r="B336" s="14" t="s">
        <v>17</v>
      </c>
      <c r="C336" s="97" t="s">
        <v>795</v>
      </c>
      <c r="D336" s="98"/>
      <c r="E336" s="98"/>
      <c r="F336" s="4" t="s">
        <v>5</v>
      </c>
      <c r="G336" s="4" t="s">
        <v>5</v>
      </c>
      <c r="H336" s="4" t="s">
        <v>5</v>
      </c>
      <c r="I336" s="37">
        <f>SUM(I337:I341)</f>
        <v>0</v>
      </c>
      <c r="J336" s="37">
        <f>SUM(J337:J341)</f>
        <v>0</v>
      </c>
      <c r="K336" s="37">
        <f>SUM(K337:K341)</f>
        <v>0</v>
      </c>
      <c r="L336" s="28"/>
      <c r="AI336" s="28" t="s">
        <v>1021</v>
      </c>
      <c r="AS336" s="37">
        <f>SUM(AJ337:AJ341)</f>
        <v>0</v>
      </c>
      <c r="AT336" s="37">
        <f>SUM(AK337:AK341)</f>
        <v>0</v>
      </c>
      <c r="AU336" s="37">
        <f>SUM(AL337:AL341)</f>
        <v>0</v>
      </c>
    </row>
    <row r="337" spans="1:62" ht="12.75">
      <c r="A337" s="5" t="s">
        <v>144</v>
      </c>
      <c r="B337" s="5" t="s">
        <v>465</v>
      </c>
      <c r="C337" s="99" t="s">
        <v>796</v>
      </c>
      <c r="D337" s="100"/>
      <c r="E337" s="100"/>
      <c r="F337" s="5" t="s">
        <v>985</v>
      </c>
      <c r="G337" s="63">
        <v>3.705</v>
      </c>
      <c r="H337" s="18">
        <v>0</v>
      </c>
      <c r="I337" s="18">
        <f>G337*AO337</f>
        <v>0</v>
      </c>
      <c r="J337" s="18">
        <f>G337*AP337</f>
        <v>0</v>
      </c>
      <c r="K337" s="18">
        <f>G337*H337</f>
        <v>0</v>
      </c>
      <c r="L337" s="29"/>
      <c r="Z337" s="34">
        <f>IF(AQ337="5",BJ337,0)</f>
        <v>0</v>
      </c>
      <c r="AB337" s="34">
        <f>IF(AQ337="1",BH337,0)</f>
        <v>0</v>
      </c>
      <c r="AC337" s="34">
        <f>IF(AQ337="1",BI337,0)</f>
        <v>0</v>
      </c>
      <c r="AD337" s="34">
        <f>IF(AQ337="7",BH337,0)</f>
        <v>0</v>
      </c>
      <c r="AE337" s="34">
        <f>IF(AQ337="7",BI337,0)</f>
        <v>0</v>
      </c>
      <c r="AF337" s="34">
        <f>IF(AQ337="2",BH337,0)</f>
        <v>0</v>
      </c>
      <c r="AG337" s="34">
        <f>IF(AQ337="2",BI337,0)</f>
        <v>0</v>
      </c>
      <c r="AH337" s="34">
        <f>IF(AQ337="0",BJ337,0)</f>
        <v>0</v>
      </c>
      <c r="AI337" s="28" t="s">
        <v>1021</v>
      </c>
      <c r="AJ337" s="18">
        <f>IF(AN337=0,K337,0)</f>
        <v>0</v>
      </c>
      <c r="AK337" s="18">
        <f>IF(AN337=15,K337,0)</f>
        <v>0</v>
      </c>
      <c r="AL337" s="18">
        <f>IF(AN337=21,K337,0)</f>
        <v>0</v>
      </c>
      <c r="AN337" s="34">
        <v>21</v>
      </c>
      <c r="AO337" s="34">
        <f>H337*0</f>
        <v>0</v>
      </c>
      <c r="AP337" s="34">
        <f>H337*(1-0)</f>
        <v>0</v>
      </c>
      <c r="AQ337" s="29" t="s">
        <v>6</v>
      </c>
      <c r="AV337" s="34">
        <f>AW337+AX337</f>
        <v>0</v>
      </c>
      <c r="AW337" s="34">
        <f>G337*AO337</f>
        <v>0</v>
      </c>
      <c r="AX337" s="34">
        <f>G337*AP337</f>
        <v>0</v>
      </c>
      <c r="AY337" s="35" t="s">
        <v>1052</v>
      </c>
      <c r="AZ337" s="35" t="s">
        <v>1071</v>
      </c>
      <c r="BA337" s="28" t="s">
        <v>1086</v>
      </c>
      <c r="BC337" s="34">
        <f>AW337+AX337</f>
        <v>0</v>
      </c>
      <c r="BD337" s="34">
        <f>H337/(100-BE337)*100</f>
        <v>0</v>
      </c>
      <c r="BE337" s="34">
        <v>0</v>
      </c>
      <c r="BF337" s="34">
        <f>337</f>
        <v>337</v>
      </c>
      <c r="BH337" s="18">
        <f>G337*AO337</f>
        <v>0</v>
      </c>
      <c r="BI337" s="18">
        <f>G337*AP337</f>
        <v>0</v>
      </c>
      <c r="BJ337" s="18">
        <f>G337*H337</f>
        <v>0</v>
      </c>
    </row>
    <row r="338" spans="3:7" ht="12.75">
      <c r="C338" s="101" t="s">
        <v>797</v>
      </c>
      <c r="D338" s="102"/>
      <c r="E338" s="102"/>
      <c r="G338" s="64">
        <v>3.705</v>
      </c>
    </row>
    <row r="339" spans="1:62" ht="12.75">
      <c r="A339" s="5" t="s">
        <v>145</v>
      </c>
      <c r="B339" s="5" t="s">
        <v>466</v>
      </c>
      <c r="C339" s="99" t="s">
        <v>798</v>
      </c>
      <c r="D339" s="100"/>
      <c r="E339" s="100"/>
      <c r="F339" s="5" t="s">
        <v>985</v>
      </c>
      <c r="G339" s="63">
        <v>0.783</v>
      </c>
      <c r="H339" s="18">
        <v>0</v>
      </c>
      <c r="I339" s="18">
        <f>G339*AO339</f>
        <v>0</v>
      </c>
      <c r="J339" s="18">
        <f>G339*AP339</f>
        <v>0</v>
      </c>
      <c r="K339" s="18">
        <f>G339*H339</f>
        <v>0</v>
      </c>
      <c r="L339" s="29"/>
      <c r="Z339" s="34">
        <f>IF(AQ339="5",BJ339,0)</f>
        <v>0</v>
      </c>
      <c r="AB339" s="34">
        <f>IF(AQ339="1",BH339,0)</f>
        <v>0</v>
      </c>
      <c r="AC339" s="34">
        <f>IF(AQ339="1",BI339,0)</f>
        <v>0</v>
      </c>
      <c r="AD339" s="34">
        <f>IF(AQ339="7",BH339,0)</f>
        <v>0</v>
      </c>
      <c r="AE339" s="34">
        <f>IF(AQ339="7",BI339,0)</f>
        <v>0</v>
      </c>
      <c r="AF339" s="34">
        <f>IF(AQ339="2",BH339,0)</f>
        <v>0</v>
      </c>
      <c r="AG339" s="34">
        <f>IF(AQ339="2",BI339,0)</f>
        <v>0</v>
      </c>
      <c r="AH339" s="34">
        <f>IF(AQ339="0",BJ339,0)</f>
        <v>0</v>
      </c>
      <c r="AI339" s="28" t="s">
        <v>1021</v>
      </c>
      <c r="AJ339" s="18">
        <f>IF(AN339=0,K339,0)</f>
        <v>0</v>
      </c>
      <c r="AK339" s="18">
        <f>IF(AN339=15,K339,0)</f>
        <v>0</v>
      </c>
      <c r="AL339" s="18">
        <f>IF(AN339=21,K339,0)</f>
        <v>0</v>
      </c>
      <c r="AN339" s="34">
        <v>21</v>
      </c>
      <c r="AO339" s="34">
        <f>H339*0</f>
        <v>0</v>
      </c>
      <c r="AP339" s="34">
        <f>H339*(1-0)</f>
        <v>0</v>
      </c>
      <c r="AQ339" s="29" t="s">
        <v>6</v>
      </c>
      <c r="AV339" s="34">
        <f>AW339+AX339</f>
        <v>0</v>
      </c>
      <c r="AW339" s="34">
        <f>G339*AO339</f>
        <v>0</v>
      </c>
      <c r="AX339" s="34">
        <f>G339*AP339</f>
        <v>0</v>
      </c>
      <c r="AY339" s="35" t="s">
        <v>1052</v>
      </c>
      <c r="AZ339" s="35" t="s">
        <v>1071</v>
      </c>
      <c r="BA339" s="28" t="s">
        <v>1086</v>
      </c>
      <c r="BC339" s="34">
        <f>AW339+AX339</f>
        <v>0</v>
      </c>
      <c r="BD339" s="34">
        <f>H339/(100-BE339)*100</f>
        <v>0</v>
      </c>
      <c r="BE339" s="34">
        <v>0</v>
      </c>
      <c r="BF339" s="34">
        <f>339</f>
        <v>339</v>
      </c>
      <c r="BH339" s="18">
        <f>G339*AO339</f>
        <v>0</v>
      </c>
      <c r="BI339" s="18">
        <f>G339*AP339</f>
        <v>0</v>
      </c>
      <c r="BJ339" s="18">
        <f>G339*H339</f>
        <v>0</v>
      </c>
    </row>
    <row r="340" spans="3:7" ht="12.75">
      <c r="C340" s="101" t="s">
        <v>799</v>
      </c>
      <c r="D340" s="102"/>
      <c r="E340" s="102"/>
      <c r="G340" s="64">
        <v>0.783</v>
      </c>
    </row>
    <row r="341" spans="1:62" ht="12.75">
      <c r="A341" s="5" t="s">
        <v>146</v>
      </c>
      <c r="B341" s="5" t="s">
        <v>467</v>
      </c>
      <c r="C341" s="99" t="s">
        <v>800</v>
      </c>
      <c r="D341" s="100"/>
      <c r="E341" s="100"/>
      <c r="F341" s="5" t="s">
        <v>985</v>
      </c>
      <c r="G341" s="63">
        <v>1.405</v>
      </c>
      <c r="H341" s="18">
        <v>0</v>
      </c>
      <c r="I341" s="18">
        <f>G341*AO341</f>
        <v>0</v>
      </c>
      <c r="J341" s="18">
        <f>G341*AP341</f>
        <v>0</v>
      </c>
      <c r="K341" s="18">
        <f>G341*H341</f>
        <v>0</v>
      </c>
      <c r="L341" s="29"/>
      <c r="Z341" s="34">
        <f>IF(AQ341="5",BJ341,0)</f>
        <v>0</v>
      </c>
      <c r="AB341" s="34">
        <f>IF(AQ341="1",BH341,0)</f>
        <v>0</v>
      </c>
      <c r="AC341" s="34">
        <f>IF(AQ341="1",BI341,0)</f>
        <v>0</v>
      </c>
      <c r="AD341" s="34">
        <f>IF(AQ341="7",BH341,0)</f>
        <v>0</v>
      </c>
      <c r="AE341" s="34">
        <f>IF(AQ341="7",BI341,0)</f>
        <v>0</v>
      </c>
      <c r="AF341" s="34">
        <f>IF(AQ341="2",BH341,0)</f>
        <v>0</v>
      </c>
      <c r="AG341" s="34">
        <f>IF(AQ341="2",BI341,0)</f>
        <v>0</v>
      </c>
      <c r="AH341" s="34">
        <f>IF(AQ341="0",BJ341,0)</f>
        <v>0</v>
      </c>
      <c r="AI341" s="28" t="s">
        <v>1021</v>
      </c>
      <c r="AJ341" s="18">
        <f>IF(AN341=0,K341,0)</f>
        <v>0</v>
      </c>
      <c r="AK341" s="18">
        <f>IF(AN341=15,K341,0)</f>
        <v>0</v>
      </c>
      <c r="AL341" s="18">
        <f>IF(AN341=21,K341,0)</f>
        <v>0</v>
      </c>
      <c r="AN341" s="34">
        <v>21</v>
      </c>
      <c r="AO341" s="34">
        <f>H341*0</f>
        <v>0</v>
      </c>
      <c r="AP341" s="34">
        <f>H341*(1-0)</f>
        <v>0</v>
      </c>
      <c r="AQ341" s="29" t="s">
        <v>6</v>
      </c>
      <c r="AV341" s="34">
        <f>AW341+AX341</f>
        <v>0</v>
      </c>
      <c r="AW341" s="34">
        <f>G341*AO341</f>
        <v>0</v>
      </c>
      <c r="AX341" s="34">
        <f>G341*AP341</f>
        <v>0</v>
      </c>
      <c r="AY341" s="35" t="s">
        <v>1052</v>
      </c>
      <c r="AZ341" s="35" t="s">
        <v>1071</v>
      </c>
      <c r="BA341" s="28" t="s">
        <v>1086</v>
      </c>
      <c r="BC341" s="34">
        <f>AW341+AX341</f>
        <v>0</v>
      </c>
      <c r="BD341" s="34">
        <f>H341/(100-BE341)*100</f>
        <v>0</v>
      </c>
      <c r="BE341" s="34">
        <v>0</v>
      </c>
      <c r="BF341" s="34">
        <f>341</f>
        <v>341</v>
      </c>
      <c r="BH341" s="18">
        <f>G341*AO341</f>
        <v>0</v>
      </c>
      <c r="BI341" s="18">
        <f>G341*AP341</f>
        <v>0</v>
      </c>
      <c r="BJ341" s="18">
        <f>G341*H341</f>
        <v>0</v>
      </c>
    </row>
    <row r="342" spans="3:7" ht="12.75">
      <c r="C342" s="101" t="s">
        <v>801</v>
      </c>
      <c r="D342" s="102"/>
      <c r="E342" s="102"/>
      <c r="G342" s="64">
        <v>1.405</v>
      </c>
    </row>
    <row r="343" spans="1:47" ht="12.75">
      <c r="A343" s="4"/>
      <c r="B343" s="14" t="s">
        <v>18</v>
      </c>
      <c r="C343" s="97" t="s">
        <v>535</v>
      </c>
      <c r="D343" s="98"/>
      <c r="E343" s="98"/>
      <c r="F343" s="4" t="s">
        <v>5</v>
      </c>
      <c r="G343" s="4" t="s">
        <v>5</v>
      </c>
      <c r="H343" s="4" t="s">
        <v>5</v>
      </c>
      <c r="I343" s="37">
        <f>SUM(I344:I344)</f>
        <v>0</v>
      </c>
      <c r="J343" s="37">
        <f>SUM(J344:J344)</f>
        <v>0</v>
      </c>
      <c r="K343" s="37">
        <f>SUM(K344:K344)</f>
        <v>0</v>
      </c>
      <c r="L343" s="28"/>
      <c r="AI343" s="28" t="s">
        <v>1021</v>
      </c>
      <c r="AS343" s="37">
        <f>SUM(AJ344:AJ344)</f>
        <v>0</v>
      </c>
      <c r="AT343" s="37">
        <f>SUM(AK344:AK344)</f>
        <v>0</v>
      </c>
      <c r="AU343" s="37">
        <f>SUM(AL344:AL344)</f>
        <v>0</v>
      </c>
    </row>
    <row r="344" spans="1:62" ht="12.75">
      <c r="A344" s="5" t="s">
        <v>147</v>
      </c>
      <c r="B344" s="5" t="s">
        <v>324</v>
      </c>
      <c r="C344" s="99" t="s">
        <v>536</v>
      </c>
      <c r="D344" s="100"/>
      <c r="E344" s="100"/>
      <c r="F344" s="5" t="s">
        <v>985</v>
      </c>
      <c r="G344" s="63">
        <v>50.526</v>
      </c>
      <c r="H344" s="18">
        <v>0</v>
      </c>
      <c r="I344" s="18">
        <f>G344*AO344</f>
        <v>0</v>
      </c>
      <c r="J344" s="18">
        <f>G344*AP344</f>
        <v>0</v>
      </c>
      <c r="K344" s="18">
        <f>G344*H344</f>
        <v>0</v>
      </c>
      <c r="L344" s="29"/>
      <c r="Z344" s="34">
        <f>IF(AQ344="5",BJ344,0)</f>
        <v>0</v>
      </c>
      <c r="AB344" s="34">
        <f>IF(AQ344="1",BH344,0)</f>
        <v>0</v>
      </c>
      <c r="AC344" s="34">
        <f>IF(AQ344="1",BI344,0)</f>
        <v>0</v>
      </c>
      <c r="AD344" s="34">
        <f>IF(AQ344="7",BH344,0)</f>
        <v>0</v>
      </c>
      <c r="AE344" s="34">
        <f>IF(AQ344="7",BI344,0)</f>
        <v>0</v>
      </c>
      <c r="AF344" s="34">
        <f>IF(AQ344="2",BH344,0)</f>
        <v>0</v>
      </c>
      <c r="AG344" s="34">
        <f>IF(AQ344="2",BI344,0)</f>
        <v>0</v>
      </c>
      <c r="AH344" s="34">
        <f>IF(AQ344="0",BJ344,0)</f>
        <v>0</v>
      </c>
      <c r="AI344" s="28" t="s">
        <v>1021</v>
      </c>
      <c r="AJ344" s="18">
        <f>IF(AN344=0,K344,0)</f>
        <v>0</v>
      </c>
      <c r="AK344" s="18">
        <f>IF(AN344=15,K344,0)</f>
        <v>0</v>
      </c>
      <c r="AL344" s="18">
        <f>IF(AN344=21,K344,0)</f>
        <v>0</v>
      </c>
      <c r="AN344" s="34">
        <v>21</v>
      </c>
      <c r="AO344" s="34">
        <f>H344*0</f>
        <v>0</v>
      </c>
      <c r="AP344" s="34">
        <f>H344*(1-0)</f>
        <v>0</v>
      </c>
      <c r="AQ344" s="29" t="s">
        <v>6</v>
      </c>
      <c r="AV344" s="34">
        <f>AW344+AX344</f>
        <v>0</v>
      </c>
      <c r="AW344" s="34">
        <f>G344*AO344</f>
        <v>0</v>
      </c>
      <c r="AX344" s="34">
        <f>G344*AP344</f>
        <v>0</v>
      </c>
      <c r="AY344" s="35" t="s">
        <v>1025</v>
      </c>
      <c r="AZ344" s="35" t="s">
        <v>1071</v>
      </c>
      <c r="BA344" s="28" t="s">
        <v>1086</v>
      </c>
      <c r="BC344" s="34">
        <f>AW344+AX344</f>
        <v>0</v>
      </c>
      <c r="BD344" s="34">
        <f>H344/(100-BE344)*100</f>
        <v>0</v>
      </c>
      <c r="BE344" s="34">
        <v>0</v>
      </c>
      <c r="BF344" s="34">
        <f>344</f>
        <v>344</v>
      </c>
      <c r="BH344" s="18">
        <f>G344*AO344</f>
        <v>0</v>
      </c>
      <c r="BI344" s="18">
        <f>G344*AP344</f>
        <v>0</v>
      </c>
      <c r="BJ344" s="18">
        <f>G344*H344</f>
        <v>0</v>
      </c>
    </row>
    <row r="345" spans="3:7" ht="12.75">
      <c r="C345" s="101" t="s">
        <v>537</v>
      </c>
      <c r="D345" s="102"/>
      <c r="E345" s="102"/>
      <c r="G345" s="64">
        <v>22.5</v>
      </c>
    </row>
    <row r="346" spans="3:7" ht="12.75">
      <c r="C346" s="101" t="s">
        <v>802</v>
      </c>
      <c r="D346" s="102"/>
      <c r="E346" s="102"/>
      <c r="G346" s="64">
        <v>3.195</v>
      </c>
    </row>
    <row r="347" spans="3:7" ht="12.75">
      <c r="C347" s="101" t="s">
        <v>803</v>
      </c>
      <c r="D347" s="102"/>
      <c r="E347" s="102"/>
      <c r="G347" s="64">
        <v>4.581</v>
      </c>
    </row>
    <row r="348" spans="3:7" ht="12.75">
      <c r="C348" s="101" t="s">
        <v>804</v>
      </c>
      <c r="D348" s="102"/>
      <c r="E348" s="102"/>
      <c r="G348" s="64">
        <v>13.5</v>
      </c>
    </row>
    <row r="349" spans="3:7" ht="12.75">
      <c r="C349" s="101" t="s">
        <v>805</v>
      </c>
      <c r="D349" s="102"/>
      <c r="E349" s="102"/>
      <c r="G349" s="64">
        <v>6.75</v>
      </c>
    </row>
    <row r="350" spans="1:47" ht="12.75">
      <c r="A350" s="4"/>
      <c r="B350" s="14" t="s">
        <v>21</v>
      </c>
      <c r="C350" s="97" t="s">
        <v>539</v>
      </c>
      <c r="D350" s="98"/>
      <c r="E350" s="98"/>
      <c r="F350" s="4" t="s">
        <v>5</v>
      </c>
      <c r="G350" s="4" t="s">
        <v>5</v>
      </c>
      <c r="H350" s="4" t="s">
        <v>5</v>
      </c>
      <c r="I350" s="37">
        <f>SUM(I351:I385)</f>
        <v>0</v>
      </c>
      <c r="J350" s="37">
        <f>SUM(J351:J385)</f>
        <v>0</v>
      </c>
      <c r="K350" s="37">
        <f>SUM(K351:K385)</f>
        <v>0</v>
      </c>
      <c r="L350" s="28"/>
      <c r="AI350" s="28" t="s">
        <v>1021</v>
      </c>
      <c r="AS350" s="37">
        <f>SUM(AJ351:AJ385)</f>
        <v>0</v>
      </c>
      <c r="AT350" s="37">
        <f>SUM(AK351:AK385)</f>
        <v>0</v>
      </c>
      <c r="AU350" s="37">
        <f>SUM(AL351:AL385)</f>
        <v>0</v>
      </c>
    </row>
    <row r="351" spans="1:62" ht="12.75">
      <c r="A351" s="5" t="s">
        <v>148</v>
      </c>
      <c r="B351" s="5" t="s">
        <v>325</v>
      </c>
      <c r="C351" s="99" t="s">
        <v>540</v>
      </c>
      <c r="D351" s="100"/>
      <c r="E351" s="100"/>
      <c r="F351" s="5" t="s">
        <v>985</v>
      </c>
      <c r="G351" s="63">
        <v>29.431</v>
      </c>
      <c r="H351" s="18">
        <v>0</v>
      </c>
      <c r="I351" s="18">
        <f>G351*AO351</f>
        <v>0</v>
      </c>
      <c r="J351" s="18">
        <f>G351*AP351</f>
        <v>0</v>
      </c>
      <c r="K351" s="18">
        <f>G351*H351</f>
        <v>0</v>
      </c>
      <c r="L351" s="29"/>
      <c r="Z351" s="34">
        <f>IF(AQ351="5",BJ351,0)</f>
        <v>0</v>
      </c>
      <c r="AB351" s="34">
        <f>IF(AQ351="1",BH351,0)</f>
        <v>0</v>
      </c>
      <c r="AC351" s="34">
        <f>IF(AQ351="1",BI351,0)</f>
        <v>0</v>
      </c>
      <c r="AD351" s="34">
        <f>IF(AQ351="7",BH351,0)</f>
        <v>0</v>
      </c>
      <c r="AE351" s="34">
        <f>IF(AQ351="7",BI351,0)</f>
        <v>0</v>
      </c>
      <c r="AF351" s="34">
        <f>IF(AQ351="2",BH351,0)</f>
        <v>0</v>
      </c>
      <c r="AG351" s="34">
        <f>IF(AQ351="2",BI351,0)</f>
        <v>0</v>
      </c>
      <c r="AH351" s="34">
        <f>IF(AQ351="0",BJ351,0)</f>
        <v>0</v>
      </c>
      <c r="AI351" s="28" t="s">
        <v>1021</v>
      </c>
      <c r="AJ351" s="18">
        <f>IF(AN351=0,K351,0)</f>
        <v>0</v>
      </c>
      <c r="AK351" s="18">
        <f>IF(AN351=15,K351,0)</f>
        <v>0</v>
      </c>
      <c r="AL351" s="18">
        <f>IF(AN351=21,K351,0)</f>
        <v>0</v>
      </c>
      <c r="AN351" s="34">
        <v>21</v>
      </c>
      <c r="AO351" s="34">
        <f>H351*0</f>
        <v>0</v>
      </c>
      <c r="AP351" s="34">
        <f>H351*(1-0)</f>
        <v>0</v>
      </c>
      <c r="AQ351" s="29" t="s">
        <v>6</v>
      </c>
      <c r="AV351" s="34">
        <f>AW351+AX351</f>
        <v>0</v>
      </c>
      <c r="AW351" s="34">
        <f>G351*AO351</f>
        <v>0</v>
      </c>
      <c r="AX351" s="34">
        <f>G351*AP351</f>
        <v>0</v>
      </c>
      <c r="AY351" s="35" t="s">
        <v>1026</v>
      </c>
      <c r="AZ351" s="35" t="s">
        <v>1071</v>
      </c>
      <c r="BA351" s="28" t="s">
        <v>1086</v>
      </c>
      <c r="BC351" s="34">
        <f>AW351+AX351</f>
        <v>0</v>
      </c>
      <c r="BD351" s="34">
        <f>H351/(100-BE351)*100</f>
        <v>0</v>
      </c>
      <c r="BE351" s="34">
        <v>0</v>
      </c>
      <c r="BF351" s="34">
        <f>351</f>
        <v>351</v>
      </c>
      <c r="BH351" s="18">
        <f>G351*AO351</f>
        <v>0</v>
      </c>
      <c r="BI351" s="18">
        <f>G351*AP351</f>
        <v>0</v>
      </c>
      <c r="BJ351" s="18">
        <f>G351*H351</f>
        <v>0</v>
      </c>
    </row>
    <row r="352" spans="3:7" ht="12.75">
      <c r="C352" s="101" t="s">
        <v>802</v>
      </c>
      <c r="D352" s="102"/>
      <c r="E352" s="102"/>
      <c r="G352" s="64">
        <v>3.195</v>
      </c>
    </row>
    <row r="353" spans="3:7" ht="12.75">
      <c r="C353" s="101" t="s">
        <v>806</v>
      </c>
      <c r="D353" s="102"/>
      <c r="E353" s="102"/>
      <c r="G353" s="64">
        <v>1.405</v>
      </c>
    </row>
    <row r="354" spans="3:7" ht="12.75">
      <c r="C354" s="101" t="s">
        <v>803</v>
      </c>
      <c r="D354" s="102"/>
      <c r="E354" s="102"/>
      <c r="G354" s="64">
        <v>4.581</v>
      </c>
    </row>
    <row r="355" spans="3:7" ht="12.75">
      <c r="C355" s="101" t="s">
        <v>807</v>
      </c>
      <c r="D355" s="102"/>
      <c r="E355" s="102"/>
      <c r="G355" s="64">
        <v>13.5</v>
      </c>
    </row>
    <row r="356" spans="3:7" ht="12.75">
      <c r="C356" s="101" t="s">
        <v>805</v>
      </c>
      <c r="D356" s="102"/>
      <c r="E356" s="102"/>
      <c r="G356" s="64">
        <v>6.75</v>
      </c>
    </row>
    <row r="357" spans="1:62" ht="12.75">
      <c r="A357" s="5" t="s">
        <v>149</v>
      </c>
      <c r="B357" s="5" t="s">
        <v>326</v>
      </c>
      <c r="C357" s="99" t="s">
        <v>541</v>
      </c>
      <c r="D357" s="100"/>
      <c r="E357" s="100"/>
      <c r="F357" s="5" t="s">
        <v>985</v>
      </c>
      <c r="G357" s="63">
        <v>29.431</v>
      </c>
      <c r="H357" s="18">
        <v>0</v>
      </c>
      <c r="I357" s="18">
        <f>G357*AO357</f>
        <v>0</v>
      </c>
      <c r="J357" s="18">
        <f>G357*AP357</f>
        <v>0</v>
      </c>
      <c r="K357" s="18">
        <f>G357*H357</f>
        <v>0</v>
      </c>
      <c r="L357" s="29"/>
      <c r="Z357" s="34">
        <f>IF(AQ357="5",BJ357,0)</f>
        <v>0</v>
      </c>
      <c r="AB357" s="34">
        <f>IF(AQ357="1",BH357,0)</f>
        <v>0</v>
      </c>
      <c r="AC357" s="34">
        <f>IF(AQ357="1",BI357,0)</f>
        <v>0</v>
      </c>
      <c r="AD357" s="34">
        <f>IF(AQ357="7",BH357,0)</f>
        <v>0</v>
      </c>
      <c r="AE357" s="34">
        <f>IF(AQ357="7",BI357,0)</f>
        <v>0</v>
      </c>
      <c r="AF357" s="34">
        <f>IF(AQ357="2",BH357,0)</f>
        <v>0</v>
      </c>
      <c r="AG357" s="34">
        <f>IF(AQ357="2",BI357,0)</f>
        <v>0</v>
      </c>
      <c r="AH357" s="34">
        <f>IF(AQ357="0",BJ357,0)</f>
        <v>0</v>
      </c>
      <c r="AI357" s="28" t="s">
        <v>1021</v>
      </c>
      <c r="AJ357" s="18">
        <f>IF(AN357=0,K357,0)</f>
        <v>0</v>
      </c>
      <c r="AK357" s="18">
        <f>IF(AN357=15,K357,0)</f>
        <v>0</v>
      </c>
      <c r="AL357" s="18">
        <f>IF(AN357=21,K357,0)</f>
        <v>0</v>
      </c>
      <c r="AN357" s="34">
        <v>21</v>
      </c>
      <c r="AO357" s="34">
        <f>H357*0</f>
        <v>0</v>
      </c>
      <c r="AP357" s="34">
        <f>H357*(1-0)</f>
        <v>0</v>
      </c>
      <c r="AQ357" s="29" t="s">
        <v>6</v>
      </c>
      <c r="AV357" s="34">
        <f>AW357+AX357</f>
        <v>0</v>
      </c>
      <c r="AW357" s="34">
        <f>G357*AO357</f>
        <v>0</v>
      </c>
      <c r="AX357" s="34">
        <f>G357*AP357</f>
        <v>0</v>
      </c>
      <c r="AY357" s="35" t="s">
        <v>1026</v>
      </c>
      <c r="AZ357" s="35" t="s">
        <v>1071</v>
      </c>
      <c r="BA357" s="28" t="s">
        <v>1086</v>
      </c>
      <c r="BC357" s="34">
        <f>AW357+AX357</f>
        <v>0</v>
      </c>
      <c r="BD357" s="34">
        <f>H357/(100-BE357)*100</f>
        <v>0</v>
      </c>
      <c r="BE357" s="34">
        <v>0</v>
      </c>
      <c r="BF357" s="34">
        <f>357</f>
        <v>357</v>
      </c>
      <c r="BH357" s="18">
        <f>G357*AO357</f>
        <v>0</v>
      </c>
      <c r="BI357" s="18">
        <f>G357*AP357</f>
        <v>0</v>
      </c>
      <c r="BJ357" s="18">
        <f>G357*H357</f>
        <v>0</v>
      </c>
    </row>
    <row r="358" spans="3:7" ht="12.75">
      <c r="C358" s="101" t="s">
        <v>802</v>
      </c>
      <c r="D358" s="102"/>
      <c r="E358" s="102"/>
      <c r="G358" s="64">
        <v>3.195</v>
      </c>
    </row>
    <row r="359" spans="3:7" ht="12.75">
      <c r="C359" s="101" t="s">
        <v>806</v>
      </c>
      <c r="D359" s="102"/>
      <c r="E359" s="102"/>
      <c r="G359" s="64">
        <v>1.405</v>
      </c>
    </row>
    <row r="360" spans="3:7" ht="12.75">
      <c r="C360" s="101" t="s">
        <v>803</v>
      </c>
      <c r="D360" s="102"/>
      <c r="E360" s="102"/>
      <c r="G360" s="64">
        <v>4.581</v>
      </c>
    </row>
    <row r="361" spans="3:7" ht="12.75">
      <c r="C361" s="101" t="s">
        <v>807</v>
      </c>
      <c r="D361" s="102"/>
      <c r="E361" s="102"/>
      <c r="G361" s="64">
        <v>13.5</v>
      </c>
    </row>
    <row r="362" spans="3:7" ht="12.75">
      <c r="C362" s="101" t="s">
        <v>805</v>
      </c>
      <c r="D362" s="102"/>
      <c r="E362" s="102"/>
      <c r="G362" s="64">
        <v>6.75</v>
      </c>
    </row>
    <row r="363" spans="1:62" ht="12.75">
      <c r="A363" s="5" t="s">
        <v>150</v>
      </c>
      <c r="B363" s="5" t="s">
        <v>468</v>
      </c>
      <c r="C363" s="99" t="s">
        <v>808</v>
      </c>
      <c r="D363" s="100"/>
      <c r="E363" s="100"/>
      <c r="F363" s="5" t="s">
        <v>985</v>
      </c>
      <c r="G363" s="63">
        <v>29.431</v>
      </c>
      <c r="H363" s="18">
        <v>0</v>
      </c>
      <c r="I363" s="18">
        <f>G363*AO363</f>
        <v>0</v>
      </c>
      <c r="J363" s="18">
        <f>G363*AP363</f>
        <v>0</v>
      </c>
      <c r="K363" s="18">
        <f>G363*H363</f>
        <v>0</v>
      </c>
      <c r="L363" s="29"/>
      <c r="Z363" s="34">
        <f>IF(AQ363="5",BJ363,0)</f>
        <v>0</v>
      </c>
      <c r="AB363" s="34">
        <f>IF(AQ363="1",BH363,0)</f>
        <v>0</v>
      </c>
      <c r="AC363" s="34">
        <f>IF(AQ363="1",BI363,0)</f>
        <v>0</v>
      </c>
      <c r="AD363" s="34">
        <f>IF(AQ363="7",BH363,0)</f>
        <v>0</v>
      </c>
      <c r="AE363" s="34">
        <f>IF(AQ363="7",BI363,0)</f>
        <v>0</v>
      </c>
      <c r="AF363" s="34">
        <f>IF(AQ363="2",BH363,0)</f>
        <v>0</v>
      </c>
      <c r="AG363" s="34">
        <f>IF(AQ363="2",BI363,0)</f>
        <v>0</v>
      </c>
      <c r="AH363" s="34">
        <f>IF(AQ363="0",BJ363,0)</f>
        <v>0</v>
      </c>
      <c r="AI363" s="28" t="s">
        <v>1021</v>
      </c>
      <c r="AJ363" s="18">
        <f>IF(AN363=0,K363,0)</f>
        <v>0</v>
      </c>
      <c r="AK363" s="18">
        <f>IF(AN363=15,K363,0)</f>
        <v>0</v>
      </c>
      <c r="AL363" s="18">
        <f>IF(AN363=21,K363,0)</f>
        <v>0</v>
      </c>
      <c r="AN363" s="34">
        <v>21</v>
      </c>
      <c r="AO363" s="34">
        <f>H363*0</f>
        <v>0</v>
      </c>
      <c r="AP363" s="34">
        <f>H363*(1-0)</f>
        <v>0</v>
      </c>
      <c r="AQ363" s="29" t="s">
        <v>6</v>
      </c>
      <c r="AV363" s="34">
        <f>AW363+AX363</f>
        <v>0</v>
      </c>
      <c r="AW363" s="34">
        <f>G363*AO363</f>
        <v>0</v>
      </c>
      <c r="AX363" s="34">
        <f>G363*AP363</f>
        <v>0</v>
      </c>
      <c r="AY363" s="35" t="s">
        <v>1026</v>
      </c>
      <c r="AZ363" s="35" t="s">
        <v>1071</v>
      </c>
      <c r="BA363" s="28" t="s">
        <v>1086</v>
      </c>
      <c r="BC363" s="34">
        <f>AW363+AX363</f>
        <v>0</v>
      </c>
      <c r="BD363" s="34">
        <f>H363/(100-BE363)*100</f>
        <v>0</v>
      </c>
      <c r="BE363" s="34">
        <v>0</v>
      </c>
      <c r="BF363" s="34">
        <f>363</f>
        <v>363</v>
      </c>
      <c r="BH363" s="18">
        <f>G363*AO363</f>
        <v>0</v>
      </c>
      <c r="BI363" s="18">
        <f>G363*AP363</f>
        <v>0</v>
      </c>
      <c r="BJ363" s="18">
        <f>G363*H363</f>
        <v>0</v>
      </c>
    </row>
    <row r="364" spans="3:7" ht="12.75">
      <c r="C364" s="101" t="s">
        <v>802</v>
      </c>
      <c r="D364" s="102"/>
      <c r="E364" s="102"/>
      <c r="G364" s="64">
        <v>3.195</v>
      </c>
    </row>
    <row r="365" spans="3:7" ht="12.75">
      <c r="C365" s="101" t="s">
        <v>806</v>
      </c>
      <c r="D365" s="102"/>
      <c r="E365" s="102"/>
      <c r="G365" s="64">
        <v>1.405</v>
      </c>
    </row>
    <row r="366" spans="3:7" ht="12.75">
      <c r="C366" s="101" t="s">
        <v>803</v>
      </c>
      <c r="D366" s="102"/>
      <c r="E366" s="102"/>
      <c r="G366" s="64">
        <v>4.581</v>
      </c>
    </row>
    <row r="367" spans="3:7" ht="12.75">
      <c r="C367" s="101" t="s">
        <v>807</v>
      </c>
      <c r="D367" s="102"/>
      <c r="E367" s="102"/>
      <c r="G367" s="64">
        <v>13.5</v>
      </c>
    </row>
    <row r="368" spans="3:7" ht="12.75">
      <c r="C368" s="101" t="s">
        <v>805</v>
      </c>
      <c r="D368" s="102"/>
      <c r="E368" s="102"/>
      <c r="G368" s="64">
        <v>6.75</v>
      </c>
    </row>
    <row r="369" spans="1:62" ht="12.75">
      <c r="A369" s="5" t="s">
        <v>151</v>
      </c>
      <c r="B369" s="5" t="s">
        <v>328</v>
      </c>
      <c r="C369" s="99" t="s">
        <v>543</v>
      </c>
      <c r="D369" s="100"/>
      <c r="E369" s="100"/>
      <c r="F369" s="5" t="s">
        <v>985</v>
      </c>
      <c r="G369" s="63">
        <v>294.31</v>
      </c>
      <c r="H369" s="18">
        <v>0</v>
      </c>
      <c r="I369" s="18">
        <f>G369*AO369</f>
        <v>0</v>
      </c>
      <c r="J369" s="18">
        <f>G369*AP369</f>
        <v>0</v>
      </c>
      <c r="K369" s="18">
        <f>G369*H369</f>
        <v>0</v>
      </c>
      <c r="L369" s="29"/>
      <c r="Z369" s="34">
        <f>IF(AQ369="5",BJ369,0)</f>
        <v>0</v>
      </c>
      <c r="AB369" s="34">
        <f>IF(AQ369="1",BH369,0)</f>
        <v>0</v>
      </c>
      <c r="AC369" s="34">
        <f>IF(AQ369="1",BI369,0)</f>
        <v>0</v>
      </c>
      <c r="AD369" s="34">
        <f>IF(AQ369="7",BH369,0)</f>
        <v>0</v>
      </c>
      <c r="AE369" s="34">
        <f>IF(AQ369="7",BI369,0)</f>
        <v>0</v>
      </c>
      <c r="AF369" s="34">
        <f>IF(AQ369="2",BH369,0)</f>
        <v>0</v>
      </c>
      <c r="AG369" s="34">
        <f>IF(AQ369="2",BI369,0)</f>
        <v>0</v>
      </c>
      <c r="AH369" s="34">
        <f>IF(AQ369="0",BJ369,0)</f>
        <v>0</v>
      </c>
      <c r="AI369" s="28" t="s">
        <v>1021</v>
      </c>
      <c r="AJ369" s="18">
        <f>IF(AN369=0,K369,0)</f>
        <v>0</v>
      </c>
      <c r="AK369" s="18">
        <f>IF(AN369=15,K369,0)</f>
        <v>0</v>
      </c>
      <c r="AL369" s="18">
        <f>IF(AN369=21,K369,0)</f>
        <v>0</v>
      </c>
      <c r="AN369" s="34">
        <v>21</v>
      </c>
      <c r="AO369" s="34">
        <f>H369*0</f>
        <v>0</v>
      </c>
      <c r="AP369" s="34">
        <f>H369*(1-0)</f>
        <v>0</v>
      </c>
      <c r="AQ369" s="29" t="s">
        <v>6</v>
      </c>
      <c r="AV369" s="34">
        <f>AW369+AX369</f>
        <v>0</v>
      </c>
      <c r="AW369" s="34">
        <f>G369*AO369</f>
        <v>0</v>
      </c>
      <c r="AX369" s="34">
        <f>G369*AP369</f>
        <v>0</v>
      </c>
      <c r="AY369" s="35" t="s">
        <v>1026</v>
      </c>
      <c r="AZ369" s="35" t="s">
        <v>1071</v>
      </c>
      <c r="BA369" s="28" t="s">
        <v>1086</v>
      </c>
      <c r="BC369" s="34">
        <f>AW369+AX369</f>
        <v>0</v>
      </c>
      <c r="BD369" s="34">
        <f>H369/(100-BE369)*100</f>
        <v>0</v>
      </c>
      <c r="BE369" s="34">
        <v>0</v>
      </c>
      <c r="BF369" s="34">
        <f>369</f>
        <v>369</v>
      </c>
      <c r="BH369" s="18">
        <f>G369*AO369</f>
        <v>0</v>
      </c>
      <c r="BI369" s="18">
        <f>G369*AP369</f>
        <v>0</v>
      </c>
      <c r="BJ369" s="18">
        <f>G369*H369</f>
        <v>0</v>
      </c>
    </row>
    <row r="370" spans="3:7" ht="12.75">
      <c r="C370" s="101" t="s">
        <v>809</v>
      </c>
      <c r="D370" s="102"/>
      <c r="E370" s="102"/>
      <c r="G370" s="64">
        <v>31.95</v>
      </c>
    </row>
    <row r="371" spans="3:7" ht="12.75">
      <c r="C371" s="101" t="s">
        <v>810</v>
      </c>
      <c r="D371" s="102"/>
      <c r="E371" s="102"/>
      <c r="G371" s="64">
        <v>14.05</v>
      </c>
    </row>
    <row r="372" spans="3:7" ht="12.75">
      <c r="C372" s="101" t="s">
        <v>811</v>
      </c>
      <c r="D372" s="102"/>
      <c r="E372" s="102"/>
      <c r="G372" s="64">
        <v>45.81</v>
      </c>
    </row>
    <row r="373" spans="3:7" ht="12.75">
      <c r="C373" s="101" t="s">
        <v>812</v>
      </c>
      <c r="D373" s="102"/>
      <c r="E373" s="102"/>
      <c r="G373" s="64">
        <v>135</v>
      </c>
    </row>
    <row r="374" spans="3:7" ht="12.75">
      <c r="C374" s="101" t="s">
        <v>813</v>
      </c>
      <c r="D374" s="102"/>
      <c r="E374" s="102"/>
      <c r="G374" s="64">
        <v>67.5</v>
      </c>
    </row>
    <row r="375" spans="1:62" ht="12.75">
      <c r="A375" s="5" t="s">
        <v>152</v>
      </c>
      <c r="B375" s="5" t="s">
        <v>329</v>
      </c>
      <c r="C375" s="99" t="s">
        <v>545</v>
      </c>
      <c r="D375" s="100"/>
      <c r="E375" s="100"/>
      <c r="F375" s="5" t="s">
        <v>985</v>
      </c>
      <c r="G375" s="63">
        <v>29.431</v>
      </c>
      <c r="H375" s="18">
        <v>0</v>
      </c>
      <c r="I375" s="18">
        <f>G375*AO375</f>
        <v>0</v>
      </c>
      <c r="J375" s="18">
        <f>G375*AP375</f>
        <v>0</v>
      </c>
      <c r="K375" s="18">
        <f>G375*H375</f>
        <v>0</v>
      </c>
      <c r="L375" s="29"/>
      <c r="Z375" s="34">
        <f>IF(AQ375="5",BJ375,0)</f>
        <v>0</v>
      </c>
      <c r="AB375" s="34">
        <f>IF(AQ375="1",BH375,0)</f>
        <v>0</v>
      </c>
      <c r="AC375" s="34">
        <f>IF(AQ375="1",BI375,0)</f>
        <v>0</v>
      </c>
      <c r="AD375" s="34">
        <f>IF(AQ375="7",BH375,0)</f>
        <v>0</v>
      </c>
      <c r="AE375" s="34">
        <f>IF(AQ375="7",BI375,0)</f>
        <v>0</v>
      </c>
      <c r="AF375" s="34">
        <f>IF(AQ375="2",BH375,0)</f>
        <v>0</v>
      </c>
      <c r="AG375" s="34">
        <f>IF(AQ375="2",BI375,0)</f>
        <v>0</v>
      </c>
      <c r="AH375" s="34">
        <f>IF(AQ375="0",BJ375,0)</f>
        <v>0</v>
      </c>
      <c r="AI375" s="28" t="s">
        <v>1021</v>
      </c>
      <c r="AJ375" s="18">
        <f>IF(AN375=0,K375,0)</f>
        <v>0</v>
      </c>
      <c r="AK375" s="18">
        <f>IF(AN375=15,K375,0)</f>
        <v>0</v>
      </c>
      <c r="AL375" s="18">
        <f>IF(AN375=21,K375,0)</f>
        <v>0</v>
      </c>
      <c r="AN375" s="34">
        <v>21</v>
      </c>
      <c r="AO375" s="34">
        <f>H375*0</f>
        <v>0</v>
      </c>
      <c r="AP375" s="34">
        <f>H375*(1-0)</f>
        <v>0</v>
      </c>
      <c r="AQ375" s="29" t="s">
        <v>6</v>
      </c>
      <c r="AV375" s="34">
        <f>AW375+AX375</f>
        <v>0</v>
      </c>
      <c r="AW375" s="34">
        <f>G375*AO375</f>
        <v>0</v>
      </c>
      <c r="AX375" s="34">
        <f>G375*AP375</f>
        <v>0</v>
      </c>
      <c r="AY375" s="35" t="s">
        <v>1026</v>
      </c>
      <c r="AZ375" s="35" t="s">
        <v>1071</v>
      </c>
      <c r="BA375" s="28" t="s">
        <v>1086</v>
      </c>
      <c r="BC375" s="34">
        <f>AW375+AX375</f>
        <v>0</v>
      </c>
      <c r="BD375" s="34">
        <f>H375/(100-BE375)*100</f>
        <v>0</v>
      </c>
      <c r="BE375" s="34">
        <v>0</v>
      </c>
      <c r="BF375" s="34">
        <f>375</f>
        <v>375</v>
      </c>
      <c r="BH375" s="18">
        <f>G375*AO375</f>
        <v>0</v>
      </c>
      <c r="BI375" s="18">
        <f>G375*AP375</f>
        <v>0</v>
      </c>
      <c r="BJ375" s="18">
        <f>G375*H375</f>
        <v>0</v>
      </c>
    </row>
    <row r="376" spans="3:7" ht="12.75">
      <c r="C376" s="101" t="s">
        <v>802</v>
      </c>
      <c r="D376" s="102"/>
      <c r="E376" s="102"/>
      <c r="G376" s="64">
        <v>3.195</v>
      </c>
    </row>
    <row r="377" spans="3:7" ht="12.75">
      <c r="C377" s="101" t="s">
        <v>806</v>
      </c>
      <c r="D377" s="102"/>
      <c r="E377" s="102"/>
      <c r="G377" s="64">
        <v>1.405</v>
      </c>
    </row>
    <row r="378" spans="3:7" ht="12.75">
      <c r="C378" s="101" t="s">
        <v>803</v>
      </c>
      <c r="D378" s="102"/>
      <c r="E378" s="102"/>
      <c r="G378" s="64">
        <v>4.581</v>
      </c>
    </row>
    <row r="379" spans="3:7" ht="12.75">
      <c r="C379" s="101" t="s">
        <v>807</v>
      </c>
      <c r="D379" s="102"/>
      <c r="E379" s="102"/>
      <c r="G379" s="64">
        <v>13.5</v>
      </c>
    </row>
    <row r="380" spans="3:7" ht="12.75">
      <c r="C380" s="101" t="s">
        <v>805</v>
      </c>
      <c r="D380" s="102"/>
      <c r="E380" s="102"/>
      <c r="G380" s="64">
        <v>6.75</v>
      </c>
    </row>
    <row r="381" spans="1:62" ht="12.75">
      <c r="A381" s="5" t="s">
        <v>153</v>
      </c>
      <c r="B381" s="5" t="s">
        <v>469</v>
      </c>
      <c r="C381" s="99" t="s">
        <v>814</v>
      </c>
      <c r="D381" s="100"/>
      <c r="E381" s="100"/>
      <c r="F381" s="5" t="s">
        <v>988</v>
      </c>
      <c r="G381" s="63">
        <v>6</v>
      </c>
      <c r="H381" s="18">
        <v>0</v>
      </c>
      <c r="I381" s="18">
        <f>G381*AO381</f>
        <v>0</v>
      </c>
      <c r="J381" s="18">
        <f>G381*AP381</f>
        <v>0</v>
      </c>
      <c r="K381" s="18">
        <f>G381*H381</f>
        <v>0</v>
      </c>
      <c r="L381" s="29"/>
      <c r="Z381" s="34">
        <f>IF(AQ381="5",BJ381,0)</f>
        <v>0</v>
      </c>
      <c r="AB381" s="34">
        <f>IF(AQ381="1",BH381,0)</f>
        <v>0</v>
      </c>
      <c r="AC381" s="34">
        <f>IF(AQ381="1",BI381,0)</f>
        <v>0</v>
      </c>
      <c r="AD381" s="34">
        <f>IF(AQ381="7",BH381,0)</f>
        <v>0</v>
      </c>
      <c r="AE381" s="34">
        <f>IF(AQ381="7",BI381,0)</f>
        <v>0</v>
      </c>
      <c r="AF381" s="34">
        <f>IF(AQ381="2",BH381,0)</f>
        <v>0</v>
      </c>
      <c r="AG381" s="34">
        <f>IF(AQ381="2",BI381,0)</f>
        <v>0</v>
      </c>
      <c r="AH381" s="34">
        <f>IF(AQ381="0",BJ381,0)</f>
        <v>0</v>
      </c>
      <c r="AI381" s="28" t="s">
        <v>1021</v>
      </c>
      <c r="AJ381" s="18">
        <f>IF(AN381=0,K381,0)</f>
        <v>0</v>
      </c>
      <c r="AK381" s="18">
        <f>IF(AN381=15,K381,0)</f>
        <v>0</v>
      </c>
      <c r="AL381" s="18">
        <f>IF(AN381=21,K381,0)</f>
        <v>0</v>
      </c>
      <c r="AN381" s="34">
        <v>21</v>
      </c>
      <c r="AO381" s="34">
        <f>H381*0</f>
        <v>0</v>
      </c>
      <c r="AP381" s="34">
        <f>H381*(1-0)</f>
        <v>0</v>
      </c>
      <c r="AQ381" s="29" t="s">
        <v>6</v>
      </c>
      <c r="AV381" s="34">
        <f>AW381+AX381</f>
        <v>0</v>
      </c>
      <c r="AW381" s="34">
        <f>G381*AO381</f>
        <v>0</v>
      </c>
      <c r="AX381" s="34">
        <f>G381*AP381</f>
        <v>0</v>
      </c>
      <c r="AY381" s="35" t="s">
        <v>1026</v>
      </c>
      <c r="AZ381" s="35" t="s">
        <v>1071</v>
      </c>
      <c r="BA381" s="28" t="s">
        <v>1086</v>
      </c>
      <c r="BC381" s="34">
        <f>AW381+AX381</f>
        <v>0</v>
      </c>
      <c r="BD381" s="34">
        <f>H381/(100-BE381)*100</f>
        <v>0</v>
      </c>
      <c r="BE381" s="34">
        <v>0</v>
      </c>
      <c r="BF381" s="34">
        <f>381</f>
        <v>381</v>
      </c>
      <c r="BH381" s="18">
        <f>G381*AO381</f>
        <v>0</v>
      </c>
      <c r="BI381" s="18">
        <f>G381*AP381</f>
        <v>0</v>
      </c>
      <c r="BJ381" s="18">
        <f>G381*H381</f>
        <v>0</v>
      </c>
    </row>
    <row r="382" spans="3:7" ht="12.75">
      <c r="C382" s="101" t="s">
        <v>11</v>
      </c>
      <c r="D382" s="102"/>
      <c r="E382" s="102"/>
      <c r="G382" s="64">
        <v>6</v>
      </c>
    </row>
    <row r="383" spans="1:62" ht="12.75">
      <c r="A383" s="5" t="s">
        <v>154</v>
      </c>
      <c r="B383" s="5" t="s">
        <v>470</v>
      </c>
      <c r="C383" s="99" t="s">
        <v>815</v>
      </c>
      <c r="D383" s="100"/>
      <c r="E383" s="100"/>
      <c r="F383" s="5" t="s">
        <v>988</v>
      </c>
      <c r="G383" s="63">
        <v>6</v>
      </c>
      <c r="H383" s="18">
        <v>0</v>
      </c>
      <c r="I383" s="18">
        <f>G383*AO383</f>
        <v>0</v>
      </c>
      <c r="J383" s="18">
        <f>G383*AP383</f>
        <v>0</v>
      </c>
      <c r="K383" s="18">
        <f>G383*H383</f>
        <v>0</v>
      </c>
      <c r="L383" s="29"/>
      <c r="Z383" s="34">
        <f>IF(AQ383="5",BJ383,0)</f>
        <v>0</v>
      </c>
      <c r="AB383" s="34">
        <f>IF(AQ383="1",BH383,0)</f>
        <v>0</v>
      </c>
      <c r="AC383" s="34">
        <f>IF(AQ383="1",BI383,0)</f>
        <v>0</v>
      </c>
      <c r="AD383" s="34">
        <f>IF(AQ383="7",BH383,0)</f>
        <v>0</v>
      </c>
      <c r="AE383" s="34">
        <f>IF(AQ383="7",BI383,0)</f>
        <v>0</v>
      </c>
      <c r="AF383" s="34">
        <f>IF(AQ383="2",BH383,0)</f>
        <v>0</v>
      </c>
      <c r="AG383" s="34">
        <f>IF(AQ383="2",BI383,0)</f>
        <v>0</v>
      </c>
      <c r="AH383" s="34">
        <f>IF(AQ383="0",BJ383,0)</f>
        <v>0</v>
      </c>
      <c r="AI383" s="28" t="s">
        <v>1021</v>
      </c>
      <c r="AJ383" s="18">
        <f>IF(AN383=0,K383,0)</f>
        <v>0</v>
      </c>
      <c r="AK383" s="18">
        <f>IF(AN383=15,K383,0)</f>
        <v>0</v>
      </c>
      <c r="AL383" s="18">
        <f>IF(AN383=21,K383,0)</f>
        <v>0</v>
      </c>
      <c r="AN383" s="34">
        <v>21</v>
      </c>
      <c r="AO383" s="34">
        <f>H383*0</f>
        <v>0</v>
      </c>
      <c r="AP383" s="34">
        <f>H383*(1-0)</f>
        <v>0</v>
      </c>
      <c r="AQ383" s="29" t="s">
        <v>6</v>
      </c>
      <c r="AV383" s="34">
        <f>AW383+AX383</f>
        <v>0</v>
      </c>
      <c r="AW383" s="34">
        <f>G383*AO383</f>
        <v>0</v>
      </c>
      <c r="AX383" s="34">
        <f>G383*AP383</f>
        <v>0</v>
      </c>
      <c r="AY383" s="35" t="s">
        <v>1026</v>
      </c>
      <c r="AZ383" s="35" t="s">
        <v>1071</v>
      </c>
      <c r="BA383" s="28" t="s">
        <v>1086</v>
      </c>
      <c r="BC383" s="34">
        <f>AW383+AX383</f>
        <v>0</v>
      </c>
      <c r="BD383" s="34">
        <f>H383/(100-BE383)*100</f>
        <v>0</v>
      </c>
      <c r="BE383" s="34">
        <v>0</v>
      </c>
      <c r="BF383" s="34">
        <f>383</f>
        <v>383</v>
      </c>
      <c r="BH383" s="18">
        <f>G383*AO383</f>
        <v>0</v>
      </c>
      <c r="BI383" s="18">
        <f>G383*AP383</f>
        <v>0</v>
      </c>
      <c r="BJ383" s="18">
        <f>G383*H383</f>
        <v>0</v>
      </c>
    </row>
    <row r="384" spans="3:7" ht="12.75">
      <c r="C384" s="101" t="s">
        <v>11</v>
      </c>
      <c r="D384" s="102"/>
      <c r="E384" s="102"/>
      <c r="G384" s="64">
        <v>6</v>
      </c>
    </row>
    <row r="385" spans="1:62" ht="12.75">
      <c r="A385" s="5" t="s">
        <v>155</v>
      </c>
      <c r="B385" s="5" t="s">
        <v>471</v>
      </c>
      <c r="C385" s="99" t="s">
        <v>816</v>
      </c>
      <c r="D385" s="100"/>
      <c r="E385" s="100"/>
      <c r="F385" s="5" t="s">
        <v>988</v>
      </c>
      <c r="G385" s="63">
        <v>6</v>
      </c>
      <c r="H385" s="18">
        <v>0</v>
      </c>
      <c r="I385" s="18">
        <f>G385*AO385</f>
        <v>0</v>
      </c>
      <c r="J385" s="18">
        <f>G385*AP385</f>
        <v>0</v>
      </c>
      <c r="K385" s="18">
        <f>G385*H385</f>
        <v>0</v>
      </c>
      <c r="L385" s="29"/>
      <c r="Z385" s="34">
        <f>IF(AQ385="5",BJ385,0)</f>
        <v>0</v>
      </c>
      <c r="AB385" s="34">
        <f>IF(AQ385="1",BH385,0)</f>
        <v>0</v>
      </c>
      <c r="AC385" s="34">
        <f>IF(AQ385="1",BI385,0)</f>
        <v>0</v>
      </c>
      <c r="AD385" s="34">
        <f>IF(AQ385="7",BH385,0)</f>
        <v>0</v>
      </c>
      <c r="AE385" s="34">
        <f>IF(AQ385="7",BI385,0)</f>
        <v>0</v>
      </c>
      <c r="AF385" s="34">
        <f>IF(AQ385="2",BH385,0)</f>
        <v>0</v>
      </c>
      <c r="AG385" s="34">
        <f>IF(AQ385="2",BI385,0)</f>
        <v>0</v>
      </c>
      <c r="AH385" s="34">
        <f>IF(AQ385="0",BJ385,0)</f>
        <v>0</v>
      </c>
      <c r="AI385" s="28" t="s">
        <v>1021</v>
      </c>
      <c r="AJ385" s="18">
        <f>IF(AN385=0,K385,0)</f>
        <v>0</v>
      </c>
      <c r="AK385" s="18">
        <f>IF(AN385=15,K385,0)</f>
        <v>0</v>
      </c>
      <c r="AL385" s="18">
        <f>IF(AN385=21,K385,0)</f>
        <v>0</v>
      </c>
      <c r="AN385" s="34">
        <v>21</v>
      </c>
      <c r="AO385" s="34">
        <f>H385*0</f>
        <v>0</v>
      </c>
      <c r="AP385" s="34">
        <f>H385*(1-0)</f>
        <v>0</v>
      </c>
      <c r="AQ385" s="29" t="s">
        <v>6</v>
      </c>
      <c r="AV385" s="34">
        <f>AW385+AX385</f>
        <v>0</v>
      </c>
      <c r="AW385" s="34">
        <f>G385*AO385</f>
        <v>0</v>
      </c>
      <c r="AX385" s="34">
        <f>G385*AP385</f>
        <v>0</v>
      </c>
      <c r="AY385" s="35" t="s">
        <v>1026</v>
      </c>
      <c r="AZ385" s="35" t="s">
        <v>1071</v>
      </c>
      <c r="BA385" s="28" t="s">
        <v>1086</v>
      </c>
      <c r="BC385" s="34">
        <f>AW385+AX385</f>
        <v>0</v>
      </c>
      <c r="BD385" s="34">
        <f>H385/(100-BE385)*100</f>
        <v>0</v>
      </c>
      <c r="BE385" s="34">
        <v>0</v>
      </c>
      <c r="BF385" s="34">
        <f>385</f>
        <v>385</v>
      </c>
      <c r="BH385" s="18">
        <f>G385*AO385</f>
        <v>0</v>
      </c>
      <c r="BI385" s="18">
        <f>G385*AP385</f>
        <v>0</v>
      </c>
      <c r="BJ385" s="18">
        <f>G385*H385</f>
        <v>0</v>
      </c>
    </row>
    <row r="386" spans="3:7" ht="12.75">
      <c r="C386" s="101" t="s">
        <v>11</v>
      </c>
      <c r="D386" s="102"/>
      <c r="E386" s="102"/>
      <c r="G386" s="64">
        <v>6</v>
      </c>
    </row>
    <row r="387" spans="1:47" ht="12.75">
      <c r="A387" s="4"/>
      <c r="B387" s="14" t="s">
        <v>22</v>
      </c>
      <c r="C387" s="97" t="s">
        <v>546</v>
      </c>
      <c r="D387" s="98"/>
      <c r="E387" s="98"/>
      <c r="F387" s="4" t="s">
        <v>5</v>
      </c>
      <c r="G387" s="4" t="s">
        <v>5</v>
      </c>
      <c r="H387" s="4" t="s">
        <v>5</v>
      </c>
      <c r="I387" s="37">
        <f>SUM(I388:I390)</f>
        <v>0</v>
      </c>
      <c r="J387" s="37">
        <f>SUM(J388:J390)</f>
        <v>0</v>
      </c>
      <c r="K387" s="37">
        <f>SUM(K388:K390)</f>
        <v>0</v>
      </c>
      <c r="L387" s="28"/>
      <c r="AI387" s="28" t="s">
        <v>1021</v>
      </c>
      <c r="AS387" s="37">
        <f>SUM(AJ388:AJ390)</f>
        <v>0</v>
      </c>
      <c r="AT387" s="37">
        <f>SUM(AK388:AK390)</f>
        <v>0</v>
      </c>
      <c r="AU387" s="37">
        <f>SUM(AL388:AL390)</f>
        <v>0</v>
      </c>
    </row>
    <row r="388" spans="1:62" ht="12.75">
      <c r="A388" s="5" t="s">
        <v>156</v>
      </c>
      <c r="B388" s="5" t="s">
        <v>330</v>
      </c>
      <c r="C388" s="99" t="s">
        <v>547</v>
      </c>
      <c r="D388" s="100"/>
      <c r="E388" s="100"/>
      <c r="F388" s="5" t="s">
        <v>985</v>
      </c>
      <c r="G388" s="63">
        <v>22.5</v>
      </c>
      <c r="H388" s="18">
        <v>0</v>
      </c>
      <c r="I388" s="18">
        <f>G388*AO388</f>
        <v>0</v>
      </c>
      <c r="J388" s="18">
        <f>G388*AP388</f>
        <v>0</v>
      </c>
      <c r="K388" s="18">
        <f>G388*H388</f>
        <v>0</v>
      </c>
      <c r="L388" s="29"/>
      <c r="Z388" s="34">
        <f>IF(AQ388="5",BJ388,0)</f>
        <v>0</v>
      </c>
      <c r="AB388" s="34">
        <f>IF(AQ388="1",BH388,0)</f>
        <v>0</v>
      </c>
      <c r="AC388" s="34">
        <f>IF(AQ388="1",BI388,0)</f>
        <v>0</v>
      </c>
      <c r="AD388" s="34">
        <f>IF(AQ388="7",BH388,0)</f>
        <v>0</v>
      </c>
      <c r="AE388" s="34">
        <f>IF(AQ388="7",BI388,0)</f>
        <v>0</v>
      </c>
      <c r="AF388" s="34">
        <f>IF(AQ388="2",BH388,0)</f>
        <v>0</v>
      </c>
      <c r="AG388" s="34">
        <f>IF(AQ388="2",BI388,0)</f>
        <v>0</v>
      </c>
      <c r="AH388" s="34">
        <f>IF(AQ388="0",BJ388,0)</f>
        <v>0</v>
      </c>
      <c r="AI388" s="28" t="s">
        <v>1021</v>
      </c>
      <c r="AJ388" s="18">
        <f>IF(AN388=0,K388,0)</f>
        <v>0</v>
      </c>
      <c r="AK388" s="18">
        <f>IF(AN388=15,K388,0)</f>
        <v>0</v>
      </c>
      <c r="AL388" s="18">
        <f>IF(AN388=21,K388,0)</f>
        <v>0</v>
      </c>
      <c r="AN388" s="34">
        <v>21</v>
      </c>
      <c r="AO388" s="34">
        <f>H388*0</f>
        <v>0</v>
      </c>
      <c r="AP388" s="34">
        <f>H388*(1-0)</f>
        <v>0</v>
      </c>
      <c r="AQ388" s="29" t="s">
        <v>6</v>
      </c>
      <c r="AV388" s="34">
        <f>AW388+AX388</f>
        <v>0</v>
      </c>
      <c r="AW388" s="34">
        <f>G388*AO388</f>
        <v>0</v>
      </c>
      <c r="AX388" s="34">
        <f>G388*AP388</f>
        <v>0</v>
      </c>
      <c r="AY388" s="35" t="s">
        <v>1027</v>
      </c>
      <c r="AZ388" s="35" t="s">
        <v>1071</v>
      </c>
      <c r="BA388" s="28" t="s">
        <v>1086</v>
      </c>
      <c r="BC388" s="34">
        <f>AW388+AX388</f>
        <v>0</v>
      </c>
      <c r="BD388" s="34">
        <f>H388/(100-BE388)*100</f>
        <v>0</v>
      </c>
      <c r="BE388" s="34">
        <v>0</v>
      </c>
      <c r="BF388" s="34">
        <f>388</f>
        <v>388</v>
      </c>
      <c r="BH388" s="18">
        <f>G388*AO388</f>
        <v>0</v>
      </c>
      <c r="BI388" s="18">
        <f>G388*AP388</f>
        <v>0</v>
      </c>
      <c r="BJ388" s="18">
        <f>G388*H388</f>
        <v>0</v>
      </c>
    </row>
    <row r="389" spans="3:7" ht="12.75">
      <c r="C389" s="101" t="s">
        <v>537</v>
      </c>
      <c r="D389" s="102"/>
      <c r="E389" s="102"/>
      <c r="G389" s="64">
        <v>22.5</v>
      </c>
    </row>
    <row r="390" spans="1:62" ht="12.75">
      <c r="A390" s="5" t="s">
        <v>157</v>
      </c>
      <c r="B390" s="5" t="s">
        <v>472</v>
      </c>
      <c r="C390" s="99" t="s">
        <v>817</v>
      </c>
      <c r="D390" s="100"/>
      <c r="E390" s="100"/>
      <c r="F390" s="5" t="s">
        <v>988</v>
      </c>
      <c r="G390" s="63">
        <v>6</v>
      </c>
      <c r="H390" s="18">
        <v>0</v>
      </c>
      <c r="I390" s="18">
        <f>G390*AO390</f>
        <v>0</v>
      </c>
      <c r="J390" s="18">
        <f>G390*AP390</f>
        <v>0</v>
      </c>
      <c r="K390" s="18">
        <f>G390*H390</f>
        <v>0</v>
      </c>
      <c r="L390" s="29"/>
      <c r="Z390" s="34">
        <f>IF(AQ390="5",BJ390,0)</f>
        <v>0</v>
      </c>
      <c r="AB390" s="34">
        <f>IF(AQ390="1",BH390,0)</f>
        <v>0</v>
      </c>
      <c r="AC390" s="34">
        <f>IF(AQ390="1",BI390,0)</f>
        <v>0</v>
      </c>
      <c r="AD390" s="34">
        <f>IF(AQ390="7",BH390,0)</f>
        <v>0</v>
      </c>
      <c r="AE390" s="34">
        <f>IF(AQ390="7",BI390,0)</f>
        <v>0</v>
      </c>
      <c r="AF390" s="34">
        <f>IF(AQ390="2",BH390,0)</f>
        <v>0</v>
      </c>
      <c r="AG390" s="34">
        <f>IF(AQ390="2",BI390,0)</f>
        <v>0</v>
      </c>
      <c r="AH390" s="34">
        <f>IF(AQ390="0",BJ390,0)</f>
        <v>0</v>
      </c>
      <c r="AI390" s="28" t="s">
        <v>1021</v>
      </c>
      <c r="AJ390" s="18">
        <f>IF(AN390=0,K390,0)</f>
        <v>0</v>
      </c>
      <c r="AK390" s="18">
        <f>IF(AN390=15,K390,0)</f>
        <v>0</v>
      </c>
      <c r="AL390" s="18">
        <f>IF(AN390=21,K390,0)</f>
        <v>0</v>
      </c>
      <c r="AN390" s="34">
        <v>21</v>
      </c>
      <c r="AO390" s="34">
        <f>H390*0</f>
        <v>0</v>
      </c>
      <c r="AP390" s="34">
        <f>H390*(1-0)</f>
        <v>0</v>
      </c>
      <c r="AQ390" s="29" t="s">
        <v>6</v>
      </c>
      <c r="AV390" s="34">
        <f>AW390+AX390</f>
        <v>0</v>
      </c>
      <c r="AW390" s="34">
        <f>G390*AO390</f>
        <v>0</v>
      </c>
      <c r="AX390" s="34">
        <f>G390*AP390</f>
        <v>0</v>
      </c>
      <c r="AY390" s="35" t="s">
        <v>1027</v>
      </c>
      <c r="AZ390" s="35" t="s">
        <v>1071</v>
      </c>
      <c r="BA390" s="28" t="s">
        <v>1086</v>
      </c>
      <c r="BC390" s="34">
        <f>AW390+AX390</f>
        <v>0</v>
      </c>
      <c r="BD390" s="34">
        <f>H390/(100-BE390)*100</f>
        <v>0</v>
      </c>
      <c r="BE390" s="34">
        <v>0</v>
      </c>
      <c r="BF390" s="34">
        <f>390</f>
        <v>390</v>
      </c>
      <c r="BH390" s="18">
        <f>G390*AO390</f>
        <v>0</v>
      </c>
      <c r="BI390" s="18">
        <f>G390*AP390</f>
        <v>0</v>
      </c>
      <c r="BJ390" s="18">
        <f>G390*H390</f>
        <v>0</v>
      </c>
    </row>
    <row r="391" spans="3:7" ht="12.75">
      <c r="C391" s="101" t="s">
        <v>11</v>
      </c>
      <c r="D391" s="102"/>
      <c r="E391" s="102"/>
      <c r="G391" s="64">
        <v>6</v>
      </c>
    </row>
    <row r="392" spans="1:47" ht="12.75">
      <c r="A392" s="4"/>
      <c r="B392" s="14" t="s">
        <v>23</v>
      </c>
      <c r="C392" s="97" t="s">
        <v>550</v>
      </c>
      <c r="D392" s="98"/>
      <c r="E392" s="98"/>
      <c r="F392" s="4" t="s">
        <v>5</v>
      </c>
      <c r="G392" s="4" t="s">
        <v>5</v>
      </c>
      <c r="H392" s="4" t="s">
        <v>5</v>
      </c>
      <c r="I392" s="37">
        <f>SUM(I393:I393)</f>
        <v>0</v>
      </c>
      <c r="J392" s="37">
        <f>SUM(J393:J393)</f>
        <v>0</v>
      </c>
      <c r="K392" s="37">
        <f>SUM(K393:K393)</f>
        <v>0</v>
      </c>
      <c r="L392" s="28"/>
      <c r="AI392" s="28" t="s">
        <v>1021</v>
      </c>
      <c r="AS392" s="37">
        <f>SUM(AJ393:AJ393)</f>
        <v>0</v>
      </c>
      <c r="AT392" s="37">
        <f>SUM(AK393:AK393)</f>
        <v>0</v>
      </c>
      <c r="AU392" s="37">
        <f>SUM(AL393:AL393)</f>
        <v>0</v>
      </c>
    </row>
    <row r="393" spans="1:62" ht="12.75">
      <c r="A393" s="5" t="s">
        <v>158</v>
      </c>
      <c r="B393" s="5" t="s">
        <v>473</v>
      </c>
      <c r="C393" s="99" t="s">
        <v>818</v>
      </c>
      <c r="D393" s="100"/>
      <c r="E393" s="100"/>
      <c r="F393" s="5" t="s">
        <v>988</v>
      </c>
      <c r="G393" s="63">
        <v>6</v>
      </c>
      <c r="H393" s="18">
        <v>0</v>
      </c>
      <c r="I393" s="18">
        <f>G393*AO393</f>
        <v>0</v>
      </c>
      <c r="J393" s="18">
        <f>G393*AP393</f>
        <v>0</v>
      </c>
      <c r="K393" s="18">
        <f>G393*H393</f>
        <v>0</v>
      </c>
      <c r="L393" s="29"/>
      <c r="Z393" s="34">
        <f>IF(AQ393="5",BJ393,0)</f>
        <v>0</v>
      </c>
      <c r="AB393" s="34">
        <f>IF(AQ393="1",BH393,0)</f>
        <v>0</v>
      </c>
      <c r="AC393" s="34">
        <f>IF(AQ393="1",BI393,0)</f>
        <v>0</v>
      </c>
      <c r="AD393" s="34">
        <f>IF(AQ393="7",BH393,0)</f>
        <v>0</v>
      </c>
      <c r="AE393" s="34">
        <f>IF(AQ393="7",BI393,0)</f>
        <v>0</v>
      </c>
      <c r="AF393" s="34">
        <f>IF(AQ393="2",BH393,0)</f>
        <v>0</v>
      </c>
      <c r="AG393" s="34">
        <f>IF(AQ393="2",BI393,0)</f>
        <v>0</v>
      </c>
      <c r="AH393" s="34">
        <f>IF(AQ393="0",BJ393,0)</f>
        <v>0</v>
      </c>
      <c r="AI393" s="28" t="s">
        <v>1021</v>
      </c>
      <c r="AJ393" s="18">
        <f>IF(AN393=0,K393,0)</f>
        <v>0</v>
      </c>
      <c r="AK393" s="18">
        <f>IF(AN393=15,K393,0)</f>
        <v>0</v>
      </c>
      <c r="AL393" s="18">
        <f>IF(AN393=21,K393,0)</f>
        <v>0</v>
      </c>
      <c r="AN393" s="34">
        <v>21</v>
      </c>
      <c r="AO393" s="34">
        <f>H393*0</f>
        <v>0</v>
      </c>
      <c r="AP393" s="34">
        <f>H393*(1-0)</f>
        <v>0</v>
      </c>
      <c r="AQ393" s="29" t="s">
        <v>6</v>
      </c>
      <c r="AV393" s="34">
        <f>AW393+AX393</f>
        <v>0</v>
      </c>
      <c r="AW393" s="34">
        <f>G393*AO393</f>
        <v>0</v>
      </c>
      <c r="AX393" s="34">
        <f>G393*AP393</f>
        <v>0</v>
      </c>
      <c r="AY393" s="35" t="s">
        <v>1028</v>
      </c>
      <c r="AZ393" s="35" t="s">
        <v>1071</v>
      </c>
      <c r="BA393" s="28" t="s">
        <v>1086</v>
      </c>
      <c r="BC393" s="34">
        <f>AW393+AX393</f>
        <v>0</v>
      </c>
      <c r="BD393" s="34">
        <f>H393/(100-BE393)*100</f>
        <v>0</v>
      </c>
      <c r="BE393" s="34">
        <v>0</v>
      </c>
      <c r="BF393" s="34">
        <f>393</f>
        <v>393</v>
      </c>
      <c r="BH393" s="18">
        <f>G393*AO393</f>
        <v>0</v>
      </c>
      <c r="BI393" s="18">
        <f>G393*AP393</f>
        <v>0</v>
      </c>
      <c r="BJ393" s="18">
        <f>G393*H393</f>
        <v>0</v>
      </c>
    </row>
    <row r="394" spans="3:7" ht="12.75">
      <c r="C394" s="101" t="s">
        <v>11</v>
      </c>
      <c r="D394" s="102"/>
      <c r="E394" s="102"/>
      <c r="G394" s="64">
        <v>6</v>
      </c>
    </row>
    <row r="395" spans="1:47" ht="12.75">
      <c r="A395" s="4"/>
      <c r="B395" s="14" t="s">
        <v>24</v>
      </c>
      <c r="C395" s="97" t="s">
        <v>555</v>
      </c>
      <c r="D395" s="98"/>
      <c r="E395" s="98"/>
      <c r="F395" s="4" t="s">
        <v>5</v>
      </c>
      <c r="G395" s="4" t="s">
        <v>5</v>
      </c>
      <c r="H395" s="4" t="s">
        <v>5</v>
      </c>
      <c r="I395" s="37">
        <f>SUM(I396:I396)</f>
        <v>0</v>
      </c>
      <c r="J395" s="37">
        <f>SUM(J396:J396)</f>
        <v>0</v>
      </c>
      <c r="K395" s="37">
        <f>SUM(K396:K396)</f>
        <v>0</v>
      </c>
      <c r="L395" s="28"/>
      <c r="AI395" s="28" t="s">
        <v>1021</v>
      </c>
      <c r="AS395" s="37">
        <f>SUM(AJ396:AJ396)</f>
        <v>0</v>
      </c>
      <c r="AT395" s="37">
        <f>SUM(AK396:AK396)</f>
        <v>0</v>
      </c>
      <c r="AU395" s="37">
        <f>SUM(AL396:AL396)</f>
        <v>0</v>
      </c>
    </row>
    <row r="396" spans="1:62" ht="12.75">
      <c r="A396" s="5" t="s">
        <v>159</v>
      </c>
      <c r="B396" s="5" t="s">
        <v>334</v>
      </c>
      <c r="C396" s="99" t="s">
        <v>556</v>
      </c>
      <c r="D396" s="100"/>
      <c r="E396" s="100"/>
      <c r="F396" s="5" t="s">
        <v>985</v>
      </c>
      <c r="G396" s="63">
        <v>3.195</v>
      </c>
      <c r="H396" s="18">
        <v>0</v>
      </c>
      <c r="I396" s="18">
        <f>G396*AO396</f>
        <v>0</v>
      </c>
      <c r="J396" s="18">
        <f>G396*AP396</f>
        <v>0</v>
      </c>
      <c r="K396" s="18">
        <f>G396*H396</f>
        <v>0</v>
      </c>
      <c r="L396" s="29"/>
      <c r="Z396" s="34">
        <f>IF(AQ396="5",BJ396,0)</f>
        <v>0</v>
      </c>
      <c r="AB396" s="34">
        <f>IF(AQ396="1",BH396,0)</f>
        <v>0</v>
      </c>
      <c r="AC396" s="34">
        <f>IF(AQ396="1",BI396,0)</f>
        <v>0</v>
      </c>
      <c r="AD396" s="34">
        <f>IF(AQ396="7",BH396,0)</f>
        <v>0</v>
      </c>
      <c r="AE396" s="34">
        <f>IF(AQ396="7",BI396,0)</f>
        <v>0</v>
      </c>
      <c r="AF396" s="34">
        <f>IF(AQ396="2",BH396,0)</f>
        <v>0</v>
      </c>
      <c r="AG396" s="34">
        <f>IF(AQ396="2",BI396,0)</f>
        <v>0</v>
      </c>
      <c r="AH396" s="34">
        <f>IF(AQ396="0",BJ396,0)</f>
        <v>0</v>
      </c>
      <c r="AI396" s="28" t="s">
        <v>1021</v>
      </c>
      <c r="AJ396" s="18">
        <f>IF(AN396=0,K396,0)</f>
        <v>0</v>
      </c>
      <c r="AK396" s="18">
        <f>IF(AN396=15,K396,0)</f>
        <v>0</v>
      </c>
      <c r="AL396" s="18">
        <f>IF(AN396=21,K396,0)</f>
        <v>0</v>
      </c>
      <c r="AN396" s="34">
        <v>21</v>
      </c>
      <c r="AO396" s="34">
        <f>H396*0</f>
        <v>0</v>
      </c>
      <c r="AP396" s="34">
        <f>H396*(1-0)</f>
        <v>0</v>
      </c>
      <c r="AQ396" s="29" t="s">
        <v>6</v>
      </c>
      <c r="AV396" s="34">
        <f>AW396+AX396</f>
        <v>0</v>
      </c>
      <c r="AW396" s="34">
        <f>G396*AO396</f>
        <v>0</v>
      </c>
      <c r="AX396" s="34">
        <f>G396*AP396</f>
        <v>0</v>
      </c>
      <c r="AY396" s="35" t="s">
        <v>1029</v>
      </c>
      <c r="AZ396" s="35" t="s">
        <v>1071</v>
      </c>
      <c r="BA396" s="28" t="s">
        <v>1086</v>
      </c>
      <c r="BC396" s="34">
        <f>AW396+AX396</f>
        <v>0</v>
      </c>
      <c r="BD396" s="34">
        <f>H396/(100-BE396)*100</f>
        <v>0</v>
      </c>
      <c r="BE396" s="34">
        <v>0</v>
      </c>
      <c r="BF396" s="34">
        <f>396</f>
        <v>396</v>
      </c>
      <c r="BH396" s="18">
        <f>G396*AO396</f>
        <v>0</v>
      </c>
      <c r="BI396" s="18">
        <f>G396*AP396</f>
        <v>0</v>
      </c>
      <c r="BJ396" s="18">
        <f>G396*H396</f>
        <v>0</v>
      </c>
    </row>
    <row r="397" spans="3:7" ht="12.75">
      <c r="C397" s="101" t="s">
        <v>802</v>
      </c>
      <c r="D397" s="102"/>
      <c r="E397" s="102"/>
      <c r="G397" s="64">
        <v>3.195</v>
      </c>
    </row>
    <row r="398" spans="1:47" ht="12.75">
      <c r="A398" s="4"/>
      <c r="B398" s="14" t="s">
        <v>26</v>
      </c>
      <c r="C398" s="97" t="s">
        <v>819</v>
      </c>
      <c r="D398" s="98"/>
      <c r="E398" s="98"/>
      <c r="F398" s="4" t="s">
        <v>5</v>
      </c>
      <c r="G398" s="4" t="s">
        <v>5</v>
      </c>
      <c r="H398" s="4" t="s">
        <v>5</v>
      </c>
      <c r="I398" s="37">
        <f>SUM(I399:I399)</f>
        <v>0</v>
      </c>
      <c r="J398" s="37">
        <f>SUM(J399:J399)</f>
        <v>0</v>
      </c>
      <c r="K398" s="37">
        <f>SUM(K399:K399)</f>
        <v>0</v>
      </c>
      <c r="L398" s="28"/>
      <c r="AI398" s="28" t="s">
        <v>1021</v>
      </c>
      <c r="AS398" s="37">
        <f>SUM(AJ399:AJ399)</f>
        <v>0</v>
      </c>
      <c r="AT398" s="37">
        <f>SUM(AK399:AK399)</f>
        <v>0</v>
      </c>
      <c r="AU398" s="37">
        <f>SUM(AL399:AL399)</f>
        <v>0</v>
      </c>
    </row>
    <row r="399" spans="1:62" ht="12.75">
      <c r="A399" s="5" t="s">
        <v>160</v>
      </c>
      <c r="B399" s="5" t="s">
        <v>474</v>
      </c>
      <c r="C399" s="99" t="s">
        <v>820</v>
      </c>
      <c r="D399" s="100"/>
      <c r="E399" s="100"/>
      <c r="F399" s="5" t="s">
        <v>985</v>
      </c>
      <c r="G399" s="63">
        <v>3.195</v>
      </c>
      <c r="H399" s="18">
        <v>0</v>
      </c>
      <c r="I399" s="18">
        <f>G399*AO399</f>
        <v>0</v>
      </c>
      <c r="J399" s="18">
        <f>G399*AP399</f>
        <v>0</v>
      </c>
      <c r="K399" s="18">
        <f>G399*H399</f>
        <v>0</v>
      </c>
      <c r="L399" s="29"/>
      <c r="Z399" s="34">
        <f>IF(AQ399="5",BJ399,0)</f>
        <v>0</v>
      </c>
      <c r="AB399" s="34">
        <f>IF(AQ399="1",BH399,0)</f>
        <v>0</v>
      </c>
      <c r="AC399" s="34">
        <f>IF(AQ399="1",BI399,0)</f>
        <v>0</v>
      </c>
      <c r="AD399" s="34">
        <f>IF(AQ399="7",BH399,0)</f>
        <v>0</v>
      </c>
      <c r="AE399" s="34">
        <f>IF(AQ399="7",BI399,0)</f>
        <v>0</v>
      </c>
      <c r="AF399" s="34">
        <f>IF(AQ399="2",BH399,0)</f>
        <v>0</v>
      </c>
      <c r="AG399" s="34">
        <f>IF(AQ399="2",BI399,0)</f>
        <v>0</v>
      </c>
      <c r="AH399" s="34">
        <f>IF(AQ399="0",BJ399,0)</f>
        <v>0</v>
      </c>
      <c r="AI399" s="28" t="s">
        <v>1021</v>
      </c>
      <c r="AJ399" s="18">
        <f>IF(AN399=0,K399,0)</f>
        <v>0</v>
      </c>
      <c r="AK399" s="18">
        <f>IF(AN399=15,K399,0)</f>
        <v>0</v>
      </c>
      <c r="AL399" s="18">
        <f>IF(AN399=21,K399,0)</f>
        <v>0</v>
      </c>
      <c r="AN399" s="34">
        <v>21</v>
      </c>
      <c r="AO399" s="34">
        <f>H399*0.716269763386072</f>
        <v>0</v>
      </c>
      <c r="AP399" s="34">
        <f>H399*(1-0.716269763386072)</f>
        <v>0</v>
      </c>
      <c r="AQ399" s="29" t="s">
        <v>6</v>
      </c>
      <c r="AV399" s="34">
        <f>AW399+AX399</f>
        <v>0</v>
      </c>
      <c r="AW399" s="34">
        <f>G399*AO399</f>
        <v>0</v>
      </c>
      <c r="AX399" s="34">
        <f>G399*AP399</f>
        <v>0</v>
      </c>
      <c r="AY399" s="35" t="s">
        <v>1053</v>
      </c>
      <c r="AZ399" s="35" t="s">
        <v>1072</v>
      </c>
      <c r="BA399" s="28" t="s">
        <v>1086</v>
      </c>
      <c r="BC399" s="34">
        <f>AW399+AX399</f>
        <v>0</v>
      </c>
      <c r="BD399" s="34">
        <f>H399/(100-BE399)*100</f>
        <v>0</v>
      </c>
      <c r="BE399" s="34">
        <v>0</v>
      </c>
      <c r="BF399" s="34">
        <f>399</f>
        <v>399</v>
      </c>
      <c r="BH399" s="18">
        <f>G399*AO399</f>
        <v>0</v>
      </c>
      <c r="BI399" s="18">
        <f>G399*AP399</f>
        <v>0</v>
      </c>
      <c r="BJ399" s="18">
        <f>G399*H399</f>
        <v>0</v>
      </c>
    </row>
    <row r="400" spans="3:7" ht="12.75">
      <c r="C400" s="101" t="s">
        <v>802</v>
      </c>
      <c r="D400" s="102"/>
      <c r="E400" s="102"/>
      <c r="G400" s="64">
        <v>3.195</v>
      </c>
    </row>
    <row r="401" spans="1:47" ht="12.75">
      <c r="A401" s="4"/>
      <c r="B401" s="14" t="s">
        <v>36</v>
      </c>
      <c r="C401" s="97" t="s">
        <v>821</v>
      </c>
      <c r="D401" s="98"/>
      <c r="E401" s="98"/>
      <c r="F401" s="4" t="s">
        <v>5</v>
      </c>
      <c r="G401" s="4" t="s">
        <v>5</v>
      </c>
      <c r="H401" s="4" t="s">
        <v>5</v>
      </c>
      <c r="I401" s="37">
        <f>SUM(I402:I402)</f>
        <v>0</v>
      </c>
      <c r="J401" s="37">
        <f>SUM(J402:J402)</f>
        <v>0</v>
      </c>
      <c r="K401" s="37">
        <f>SUM(K402:K402)</f>
        <v>0</v>
      </c>
      <c r="L401" s="28"/>
      <c r="AI401" s="28" t="s">
        <v>1021</v>
      </c>
      <c r="AS401" s="37">
        <f>SUM(AJ402:AJ402)</f>
        <v>0</v>
      </c>
      <c r="AT401" s="37">
        <f>SUM(AK402:AK402)</f>
        <v>0</v>
      </c>
      <c r="AU401" s="37">
        <f>SUM(AL402:AL402)</f>
        <v>0</v>
      </c>
    </row>
    <row r="402" spans="1:62" ht="12.75">
      <c r="A402" s="5" t="s">
        <v>161</v>
      </c>
      <c r="B402" s="5" t="s">
        <v>475</v>
      </c>
      <c r="C402" s="99" t="s">
        <v>822</v>
      </c>
      <c r="D402" s="100"/>
      <c r="E402" s="100"/>
      <c r="F402" s="5" t="s">
        <v>986</v>
      </c>
      <c r="G402" s="63">
        <v>4</v>
      </c>
      <c r="H402" s="18">
        <v>0</v>
      </c>
      <c r="I402" s="18">
        <f>G402*AO402</f>
        <v>0</v>
      </c>
      <c r="J402" s="18">
        <f>G402*AP402</f>
        <v>0</v>
      </c>
      <c r="K402" s="18">
        <f>G402*H402</f>
        <v>0</v>
      </c>
      <c r="L402" s="29"/>
      <c r="Z402" s="34">
        <f>IF(AQ402="5",BJ402,0)</f>
        <v>0</v>
      </c>
      <c r="AB402" s="34">
        <f>IF(AQ402="1",BH402,0)</f>
        <v>0</v>
      </c>
      <c r="AC402" s="34">
        <f>IF(AQ402="1",BI402,0)</f>
        <v>0</v>
      </c>
      <c r="AD402" s="34">
        <f>IF(AQ402="7",BH402,0)</f>
        <v>0</v>
      </c>
      <c r="AE402" s="34">
        <f>IF(AQ402="7",BI402,0)</f>
        <v>0</v>
      </c>
      <c r="AF402" s="34">
        <f>IF(AQ402="2",BH402,0)</f>
        <v>0</v>
      </c>
      <c r="AG402" s="34">
        <f>IF(AQ402="2",BI402,0)</f>
        <v>0</v>
      </c>
      <c r="AH402" s="34">
        <f>IF(AQ402="0",BJ402,0)</f>
        <v>0</v>
      </c>
      <c r="AI402" s="28" t="s">
        <v>1021</v>
      </c>
      <c r="AJ402" s="18">
        <f>IF(AN402=0,K402,0)</f>
        <v>0</v>
      </c>
      <c r="AK402" s="18">
        <f>IF(AN402=15,K402,0)</f>
        <v>0</v>
      </c>
      <c r="AL402" s="18">
        <f>IF(AN402=21,K402,0)</f>
        <v>0</v>
      </c>
      <c r="AN402" s="34">
        <v>21</v>
      </c>
      <c r="AO402" s="34">
        <f>H402*0.745161210378925</f>
        <v>0</v>
      </c>
      <c r="AP402" s="34">
        <f>H402*(1-0.745161210378925)</f>
        <v>0</v>
      </c>
      <c r="AQ402" s="29" t="s">
        <v>6</v>
      </c>
      <c r="AV402" s="34">
        <f>AW402+AX402</f>
        <v>0</v>
      </c>
      <c r="AW402" s="34">
        <f>G402*AO402</f>
        <v>0</v>
      </c>
      <c r="AX402" s="34">
        <f>G402*AP402</f>
        <v>0</v>
      </c>
      <c r="AY402" s="35" t="s">
        <v>1054</v>
      </c>
      <c r="AZ402" s="35" t="s">
        <v>1073</v>
      </c>
      <c r="BA402" s="28" t="s">
        <v>1086</v>
      </c>
      <c r="BC402" s="34">
        <f>AW402+AX402</f>
        <v>0</v>
      </c>
      <c r="BD402" s="34">
        <f>H402/(100-BE402)*100</f>
        <v>0</v>
      </c>
      <c r="BE402" s="34">
        <v>0</v>
      </c>
      <c r="BF402" s="34">
        <f>402</f>
        <v>402</v>
      </c>
      <c r="BH402" s="18">
        <f>G402*AO402</f>
        <v>0</v>
      </c>
      <c r="BI402" s="18">
        <f>G402*AP402</f>
        <v>0</v>
      </c>
      <c r="BJ402" s="18">
        <f>G402*H402</f>
        <v>0</v>
      </c>
    </row>
    <row r="403" spans="3:7" ht="12.75">
      <c r="C403" s="101" t="s">
        <v>9</v>
      </c>
      <c r="D403" s="102"/>
      <c r="E403" s="102"/>
      <c r="G403" s="64">
        <v>4</v>
      </c>
    </row>
    <row r="404" spans="1:47" ht="12.75">
      <c r="A404" s="4"/>
      <c r="B404" s="14" t="s">
        <v>43</v>
      </c>
      <c r="C404" s="97" t="s">
        <v>823</v>
      </c>
      <c r="D404" s="98"/>
      <c r="E404" s="98"/>
      <c r="F404" s="4" t="s">
        <v>5</v>
      </c>
      <c r="G404" s="4" t="s">
        <v>5</v>
      </c>
      <c r="H404" s="4" t="s">
        <v>5</v>
      </c>
      <c r="I404" s="37">
        <f>SUM(I405:I405)</f>
        <v>0</v>
      </c>
      <c r="J404" s="37">
        <f>SUM(J405:J405)</f>
        <v>0</v>
      </c>
      <c r="K404" s="37">
        <f>SUM(K405:K405)</f>
        <v>0</v>
      </c>
      <c r="L404" s="28"/>
      <c r="AI404" s="28" t="s">
        <v>1021</v>
      </c>
      <c r="AS404" s="37">
        <f>SUM(AJ405:AJ405)</f>
        <v>0</v>
      </c>
      <c r="AT404" s="37">
        <f>SUM(AK405:AK405)</f>
        <v>0</v>
      </c>
      <c r="AU404" s="37">
        <f>SUM(AL405:AL405)</f>
        <v>0</v>
      </c>
    </row>
    <row r="405" spans="1:62" ht="12.75">
      <c r="A405" s="5" t="s">
        <v>162</v>
      </c>
      <c r="B405" s="5" t="s">
        <v>476</v>
      </c>
      <c r="C405" s="99" t="s">
        <v>824</v>
      </c>
      <c r="D405" s="100"/>
      <c r="E405" s="100"/>
      <c r="F405" s="5" t="s">
        <v>986</v>
      </c>
      <c r="G405" s="63">
        <v>17.2</v>
      </c>
      <c r="H405" s="18">
        <v>0</v>
      </c>
      <c r="I405" s="18">
        <f>G405*AO405</f>
        <v>0</v>
      </c>
      <c r="J405" s="18">
        <f>G405*AP405</f>
        <v>0</v>
      </c>
      <c r="K405" s="18">
        <f>G405*H405</f>
        <v>0</v>
      </c>
      <c r="L405" s="29"/>
      <c r="Z405" s="34">
        <f>IF(AQ405="5",BJ405,0)</f>
        <v>0</v>
      </c>
      <c r="AB405" s="34">
        <f>IF(AQ405="1",BH405,0)</f>
        <v>0</v>
      </c>
      <c r="AC405" s="34">
        <f>IF(AQ405="1",BI405,0)</f>
        <v>0</v>
      </c>
      <c r="AD405" s="34">
        <f>IF(AQ405="7",BH405,0)</f>
        <v>0</v>
      </c>
      <c r="AE405" s="34">
        <f>IF(AQ405="7",BI405,0)</f>
        <v>0</v>
      </c>
      <c r="AF405" s="34">
        <f>IF(AQ405="2",BH405,0)</f>
        <v>0</v>
      </c>
      <c r="AG405" s="34">
        <f>IF(AQ405="2",BI405,0)</f>
        <v>0</v>
      </c>
      <c r="AH405" s="34">
        <f>IF(AQ405="0",BJ405,0)</f>
        <v>0</v>
      </c>
      <c r="AI405" s="28" t="s">
        <v>1021</v>
      </c>
      <c r="AJ405" s="18">
        <f>IF(AN405=0,K405,0)</f>
        <v>0</v>
      </c>
      <c r="AK405" s="18">
        <f>IF(AN405=15,K405,0)</f>
        <v>0</v>
      </c>
      <c r="AL405" s="18">
        <f>IF(AN405=21,K405,0)</f>
        <v>0</v>
      </c>
      <c r="AN405" s="34">
        <v>21</v>
      </c>
      <c r="AO405" s="34">
        <f>H405*0.141302982731554</f>
        <v>0</v>
      </c>
      <c r="AP405" s="34">
        <f>H405*(1-0.141302982731554)</f>
        <v>0</v>
      </c>
      <c r="AQ405" s="29" t="s">
        <v>6</v>
      </c>
      <c r="AV405" s="34">
        <f>AW405+AX405</f>
        <v>0</v>
      </c>
      <c r="AW405" s="34">
        <f>G405*AO405</f>
        <v>0</v>
      </c>
      <c r="AX405" s="34">
        <f>G405*AP405</f>
        <v>0</v>
      </c>
      <c r="AY405" s="35" t="s">
        <v>1055</v>
      </c>
      <c r="AZ405" s="35" t="s">
        <v>1073</v>
      </c>
      <c r="BA405" s="28" t="s">
        <v>1086</v>
      </c>
      <c r="BC405" s="34">
        <f>AW405+AX405</f>
        <v>0</v>
      </c>
      <c r="BD405" s="34">
        <f>H405/(100-BE405)*100</f>
        <v>0</v>
      </c>
      <c r="BE405" s="34">
        <v>0</v>
      </c>
      <c r="BF405" s="34">
        <f>405</f>
        <v>405</v>
      </c>
      <c r="BH405" s="18">
        <f>G405*AO405</f>
        <v>0</v>
      </c>
      <c r="BI405" s="18">
        <f>G405*AP405</f>
        <v>0</v>
      </c>
      <c r="BJ405" s="18">
        <f>G405*H405</f>
        <v>0</v>
      </c>
    </row>
    <row r="406" spans="3:7" ht="12.75">
      <c r="C406" s="101" t="s">
        <v>825</v>
      </c>
      <c r="D406" s="102"/>
      <c r="E406" s="102"/>
      <c r="G406" s="64">
        <v>5.7</v>
      </c>
    </row>
    <row r="407" spans="3:7" ht="12.75">
      <c r="C407" s="101" t="s">
        <v>826</v>
      </c>
      <c r="D407" s="102"/>
      <c r="E407" s="102"/>
      <c r="G407" s="64">
        <v>0.9</v>
      </c>
    </row>
    <row r="408" spans="3:7" ht="12.75">
      <c r="C408" s="101" t="s">
        <v>827</v>
      </c>
      <c r="D408" s="102"/>
      <c r="E408" s="102"/>
      <c r="G408" s="64">
        <v>1.5</v>
      </c>
    </row>
    <row r="409" spans="3:7" ht="12.75">
      <c r="C409" s="101" t="s">
        <v>828</v>
      </c>
      <c r="D409" s="102"/>
      <c r="E409" s="102"/>
      <c r="G409" s="64">
        <v>5.1</v>
      </c>
    </row>
    <row r="410" spans="3:7" ht="12.75">
      <c r="C410" s="101" t="s">
        <v>829</v>
      </c>
      <c r="D410" s="102"/>
      <c r="E410" s="102"/>
      <c r="G410" s="64">
        <v>4</v>
      </c>
    </row>
    <row r="411" spans="1:47" ht="12.75">
      <c r="A411" s="4"/>
      <c r="B411" s="14" t="s">
        <v>50</v>
      </c>
      <c r="C411" s="97" t="s">
        <v>557</v>
      </c>
      <c r="D411" s="98"/>
      <c r="E411" s="98"/>
      <c r="F411" s="4" t="s">
        <v>5</v>
      </c>
      <c r="G411" s="4" t="s">
        <v>5</v>
      </c>
      <c r="H411" s="4" t="s">
        <v>5</v>
      </c>
      <c r="I411" s="37">
        <f>SUM(I412:I412)</f>
        <v>0</v>
      </c>
      <c r="J411" s="37">
        <f>SUM(J412:J412)</f>
        <v>0</v>
      </c>
      <c r="K411" s="37">
        <f>SUM(K412:K412)</f>
        <v>0</v>
      </c>
      <c r="L411" s="28"/>
      <c r="AI411" s="28" t="s">
        <v>1021</v>
      </c>
      <c r="AS411" s="37">
        <f>SUM(AJ412:AJ412)</f>
        <v>0</v>
      </c>
      <c r="AT411" s="37">
        <f>SUM(AK412:AK412)</f>
        <v>0</v>
      </c>
      <c r="AU411" s="37">
        <f>SUM(AL412:AL412)</f>
        <v>0</v>
      </c>
    </row>
    <row r="412" spans="1:62" ht="12.75">
      <c r="A412" s="5" t="s">
        <v>163</v>
      </c>
      <c r="B412" s="5" t="s">
        <v>335</v>
      </c>
      <c r="C412" s="99" t="s">
        <v>558</v>
      </c>
      <c r="D412" s="100"/>
      <c r="E412" s="100"/>
      <c r="F412" s="5" t="s">
        <v>984</v>
      </c>
      <c r="G412" s="63">
        <v>10.7</v>
      </c>
      <c r="H412" s="18">
        <v>0</v>
      </c>
      <c r="I412" s="18">
        <f>G412*AO412</f>
        <v>0</v>
      </c>
      <c r="J412" s="18">
        <f>G412*AP412</f>
        <v>0</v>
      </c>
      <c r="K412" s="18">
        <f>G412*H412</f>
        <v>0</v>
      </c>
      <c r="L412" s="29"/>
      <c r="Z412" s="34">
        <f>IF(AQ412="5",BJ412,0)</f>
        <v>0</v>
      </c>
      <c r="AB412" s="34">
        <f>IF(AQ412="1",BH412,0)</f>
        <v>0</v>
      </c>
      <c r="AC412" s="34">
        <f>IF(AQ412="1",BI412,0)</f>
        <v>0</v>
      </c>
      <c r="AD412" s="34">
        <f>IF(AQ412="7",BH412,0)</f>
        <v>0</v>
      </c>
      <c r="AE412" s="34">
        <f>IF(AQ412="7",BI412,0)</f>
        <v>0</v>
      </c>
      <c r="AF412" s="34">
        <f>IF(AQ412="2",BH412,0)</f>
        <v>0</v>
      </c>
      <c r="AG412" s="34">
        <f>IF(AQ412="2",BI412,0)</f>
        <v>0</v>
      </c>
      <c r="AH412" s="34">
        <f>IF(AQ412="0",BJ412,0)</f>
        <v>0</v>
      </c>
      <c r="AI412" s="28" t="s">
        <v>1021</v>
      </c>
      <c r="AJ412" s="18">
        <f>IF(AN412=0,K412,0)</f>
        <v>0</v>
      </c>
      <c r="AK412" s="18">
        <f>IF(AN412=15,K412,0)</f>
        <v>0</v>
      </c>
      <c r="AL412" s="18">
        <f>IF(AN412=21,K412,0)</f>
        <v>0</v>
      </c>
      <c r="AN412" s="34">
        <v>21</v>
      </c>
      <c r="AO412" s="34">
        <f>H412*0.463223748005881</f>
        <v>0</v>
      </c>
      <c r="AP412" s="34">
        <f>H412*(1-0.463223748005881)</f>
        <v>0</v>
      </c>
      <c r="AQ412" s="29" t="s">
        <v>6</v>
      </c>
      <c r="AV412" s="34">
        <f>AW412+AX412</f>
        <v>0</v>
      </c>
      <c r="AW412" s="34">
        <f>G412*AO412</f>
        <v>0</v>
      </c>
      <c r="AX412" s="34">
        <f>G412*AP412</f>
        <v>0</v>
      </c>
      <c r="AY412" s="35" t="s">
        <v>1030</v>
      </c>
      <c r="AZ412" s="35" t="s">
        <v>1074</v>
      </c>
      <c r="BA412" s="28" t="s">
        <v>1086</v>
      </c>
      <c r="BC412" s="34">
        <f>AW412+AX412</f>
        <v>0</v>
      </c>
      <c r="BD412" s="34">
        <f>H412/(100-BE412)*100</f>
        <v>0</v>
      </c>
      <c r="BE412" s="34">
        <v>0</v>
      </c>
      <c r="BF412" s="34">
        <f>412</f>
        <v>412</v>
      </c>
      <c r="BH412" s="18">
        <f>G412*AO412</f>
        <v>0</v>
      </c>
      <c r="BI412" s="18">
        <f>G412*AP412</f>
        <v>0</v>
      </c>
      <c r="BJ412" s="18">
        <f>G412*H412</f>
        <v>0</v>
      </c>
    </row>
    <row r="413" spans="3:7" ht="12.75">
      <c r="C413" s="101" t="s">
        <v>830</v>
      </c>
      <c r="D413" s="102"/>
      <c r="E413" s="102"/>
      <c r="G413" s="64">
        <v>10.7</v>
      </c>
    </row>
    <row r="414" spans="1:47" ht="12.75">
      <c r="A414" s="4"/>
      <c r="B414" s="14" t="s">
        <v>61</v>
      </c>
      <c r="C414" s="97" t="s">
        <v>831</v>
      </c>
      <c r="D414" s="98"/>
      <c r="E414" s="98"/>
      <c r="F414" s="4" t="s">
        <v>5</v>
      </c>
      <c r="G414" s="4" t="s">
        <v>5</v>
      </c>
      <c r="H414" s="4" t="s">
        <v>5</v>
      </c>
      <c r="I414" s="37">
        <f>SUM(I415:I415)</f>
        <v>0</v>
      </c>
      <c r="J414" s="37">
        <f>SUM(J415:J415)</f>
        <v>0</v>
      </c>
      <c r="K414" s="37">
        <f>SUM(K415:K415)</f>
        <v>0</v>
      </c>
      <c r="L414" s="28"/>
      <c r="AI414" s="28" t="s">
        <v>1021</v>
      </c>
      <c r="AS414" s="37">
        <f>SUM(AJ415:AJ415)</f>
        <v>0</v>
      </c>
      <c r="AT414" s="37">
        <f>SUM(AK415:AK415)</f>
        <v>0</v>
      </c>
      <c r="AU414" s="37">
        <f>SUM(AL415:AL415)</f>
        <v>0</v>
      </c>
    </row>
    <row r="415" spans="1:62" ht="12.75">
      <c r="A415" s="5" t="s">
        <v>164</v>
      </c>
      <c r="B415" s="5" t="s">
        <v>477</v>
      </c>
      <c r="C415" s="99" t="s">
        <v>832</v>
      </c>
      <c r="D415" s="100"/>
      <c r="E415" s="100"/>
      <c r="F415" s="5" t="s">
        <v>984</v>
      </c>
      <c r="G415" s="63">
        <v>98.04</v>
      </c>
      <c r="H415" s="18">
        <v>0</v>
      </c>
      <c r="I415" s="18">
        <f>G415*AO415</f>
        <v>0</v>
      </c>
      <c r="J415" s="18">
        <f>G415*AP415</f>
        <v>0</v>
      </c>
      <c r="K415" s="18">
        <f>G415*H415</f>
        <v>0</v>
      </c>
      <c r="L415" s="29"/>
      <c r="Z415" s="34">
        <f>IF(AQ415="5",BJ415,0)</f>
        <v>0</v>
      </c>
      <c r="AB415" s="34">
        <f>IF(AQ415="1",BH415,0)</f>
        <v>0</v>
      </c>
      <c r="AC415" s="34">
        <f>IF(AQ415="1",BI415,0)</f>
        <v>0</v>
      </c>
      <c r="AD415" s="34">
        <f>IF(AQ415="7",BH415,0)</f>
        <v>0</v>
      </c>
      <c r="AE415" s="34">
        <f>IF(AQ415="7",BI415,0)</f>
        <v>0</v>
      </c>
      <c r="AF415" s="34">
        <f>IF(AQ415="2",BH415,0)</f>
        <v>0</v>
      </c>
      <c r="AG415" s="34">
        <f>IF(AQ415="2",BI415,0)</f>
        <v>0</v>
      </c>
      <c r="AH415" s="34">
        <f>IF(AQ415="0",BJ415,0)</f>
        <v>0</v>
      </c>
      <c r="AI415" s="28" t="s">
        <v>1021</v>
      </c>
      <c r="AJ415" s="18">
        <f>IF(AN415=0,K415,0)</f>
        <v>0</v>
      </c>
      <c r="AK415" s="18">
        <f>IF(AN415=15,K415,0)</f>
        <v>0</v>
      </c>
      <c r="AL415" s="18">
        <f>IF(AN415=21,K415,0)</f>
        <v>0</v>
      </c>
      <c r="AN415" s="34">
        <v>21</v>
      </c>
      <c r="AO415" s="34">
        <f>H415*0.866775067750677</f>
        <v>0</v>
      </c>
      <c r="AP415" s="34">
        <f>H415*(1-0.866775067750677)</f>
        <v>0</v>
      </c>
      <c r="AQ415" s="29" t="s">
        <v>6</v>
      </c>
      <c r="AV415" s="34">
        <f>AW415+AX415</f>
        <v>0</v>
      </c>
      <c r="AW415" s="34">
        <f>G415*AO415</f>
        <v>0</v>
      </c>
      <c r="AX415" s="34">
        <f>G415*AP415</f>
        <v>0</v>
      </c>
      <c r="AY415" s="35" t="s">
        <v>1056</v>
      </c>
      <c r="AZ415" s="35" t="s">
        <v>1075</v>
      </c>
      <c r="BA415" s="28" t="s">
        <v>1086</v>
      </c>
      <c r="BC415" s="34">
        <f>AW415+AX415</f>
        <v>0</v>
      </c>
      <c r="BD415" s="34">
        <f>H415/(100-BE415)*100</f>
        <v>0</v>
      </c>
      <c r="BE415" s="34">
        <v>0</v>
      </c>
      <c r="BF415" s="34">
        <f>415</f>
        <v>415</v>
      </c>
      <c r="BH415" s="18">
        <f>G415*AO415</f>
        <v>0</v>
      </c>
      <c r="BI415" s="18">
        <f>G415*AP415</f>
        <v>0</v>
      </c>
      <c r="BJ415" s="18">
        <f>G415*H415</f>
        <v>0</v>
      </c>
    </row>
    <row r="416" spans="3:7" ht="12.75">
      <c r="C416" s="101" t="s">
        <v>833</v>
      </c>
      <c r="D416" s="102"/>
      <c r="E416" s="102"/>
      <c r="G416" s="64">
        <v>30.54</v>
      </c>
    </row>
    <row r="417" spans="3:7" ht="12.75">
      <c r="C417" s="101" t="s">
        <v>834</v>
      </c>
      <c r="D417" s="102"/>
      <c r="E417" s="102"/>
      <c r="G417" s="64">
        <v>67.5</v>
      </c>
    </row>
    <row r="418" spans="1:47" ht="12.75">
      <c r="A418" s="4"/>
      <c r="B418" s="14" t="s">
        <v>64</v>
      </c>
      <c r="C418" s="97" t="s">
        <v>560</v>
      </c>
      <c r="D418" s="98"/>
      <c r="E418" s="98"/>
      <c r="F418" s="4" t="s">
        <v>5</v>
      </c>
      <c r="G418" s="4" t="s">
        <v>5</v>
      </c>
      <c r="H418" s="4" t="s">
        <v>5</v>
      </c>
      <c r="I418" s="37">
        <f>SUM(I419:I432)</f>
        <v>0</v>
      </c>
      <c r="J418" s="37">
        <f>SUM(J419:J432)</f>
        <v>0</v>
      </c>
      <c r="K418" s="37">
        <f>SUM(K419:K432)</f>
        <v>0</v>
      </c>
      <c r="L418" s="28"/>
      <c r="AI418" s="28" t="s">
        <v>1021</v>
      </c>
      <c r="AS418" s="37">
        <f>SUM(AJ419:AJ432)</f>
        <v>0</v>
      </c>
      <c r="AT418" s="37">
        <f>SUM(AK419:AK432)</f>
        <v>0</v>
      </c>
      <c r="AU418" s="37">
        <f>SUM(AL419:AL432)</f>
        <v>0</v>
      </c>
    </row>
    <row r="419" spans="1:62" ht="12.75">
      <c r="A419" s="5" t="s">
        <v>165</v>
      </c>
      <c r="B419" s="5" t="s">
        <v>336</v>
      </c>
      <c r="C419" s="99" t="s">
        <v>561</v>
      </c>
      <c r="D419" s="100"/>
      <c r="E419" s="100"/>
      <c r="F419" s="5" t="s">
        <v>984</v>
      </c>
      <c r="G419" s="63">
        <v>10.7</v>
      </c>
      <c r="H419" s="18">
        <v>0</v>
      </c>
      <c r="I419" s="18">
        <f>G419*AO419</f>
        <v>0</v>
      </c>
      <c r="J419" s="18">
        <f>G419*AP419</f>
        <v>0</v>
      </c>
      <c r="K419" s="18">
        <f>G419*H419</f>
        <v>0</v>
      </c>
      <c r="L419" s="29"/>
      <c r="Z419" s="34">
        <f>IF(AQ419="5",BJ419,0)</f>
        <v>0</v>
      </c>
      <c r="AB419" s="34">
        <f>IF(AQ419="1",BH419,0)</f>
        <v>0</v>
      </c>
      <c r="AC419" s="34">
        <f>IF(AQ419="1",BI419,0)</f>
        <v>0</v>
      </c>
      <c r="AD419" s="34">
        <f>IF(AQ419="7",BH419,0)</f>
        <v>0</v>
      </c>
      <c r="AE419" s="34">
        <f>IF(AQ419="7",BI419,0)</f>
        <v>0</v>
      </c>
      <c r="AF419" s="34">
        <f>IF(AQ419="2",BH419,0)</f>
        <v>0</v>
      </c>
      <c r="AG419" s="34">
        <f>IF(AQ419="2",BI419,0)</f>
        <v>0</v>
      </c>
      <c r="AH419" s="34">
        <f>IF(AQ419="0",BJ419,0)</f>
        <v>0</v>
      </c>
      <c r="AI419" s="28" t="s">
        <v>1021</v>
      </c>
      <c r="AJ419" s="18">
        <f>IF(AN419=0,K419,0)</f>
        <v>0</v>
      </c>
      <c r="AK419" s="18">
        <f>IF(AN419=15,K419,0)</f>
        <v>0</v>
      </c>
      <c r="AL419" s="18">
        <f>IF(AN419=21,K419,0)</f>
        <v>0</v>
      </c>
      <c r="AN419" s="34">
        <v>21</v>
      </c>
      <c r="AO419" s="34">
        <f>H419*0.703365019011407</f>
        <v>0</v>
      </c>
      <c r="AP419" s="34">
        <f>H419*(1-0.703365019011407)</f>
        <v>0</v>
      </c>
      <c r="AQ419" s="29" t="s">
        <v>6</v>
      </c>
      <c r="AV419" s="34">
        <f>AW419+AX419</f>
        <v>0</v>
      </c>
      <c r="AW419" s="34">
        <f>G419*AO419</f>
        <v>0</v>
      </c>
      <c r="AX419" s="34">
        <f>G419*AP419</f>
        <v>0</v>
      </c>
      <c r="AY419" s="35" t="s">
        <v>1031</v>
      </c>
      <c r="AZ419" s="35" t="s">
        <v>1075</v>
      </c>
      <c r="BA419" s="28" t="s">
        <v>1086</v>
      </c>
      <c r="BC419" s="34">
        <f>AW419+AX419</f>
        <v>0</v>
      </c>
      <c r="BD419" s="34">
        <f>H419/(100-BE419)*100</f>
        <v>0</v>
      </c>
      <c r="BE419" s="34">
        <v>0</v>
      </c>
      <c r="BF419" s="34">
        <f>419</f>
        <v>419</v>
      </c>
      <c r="BH419" s="18">
        <f>G419*AO419</f>
        <v>0</v>
      </c>
      <c r="BI419" s="18">
        <f>G419*AP419</f>
        <v>0</v>
      </c>
      <c r="BJ419" s="18">
        <f>G419*H419</f>
        <v>0</v>
      </c>
    </row>
    <row r="420" spans="3:7" ht="12.75">
      <c r="C420" s="101" t="s">
        <v>830</v>
      </c>
      <c r="D420" s="102"/>
      <c r="E420" s="102"/>
      <c r="G420" s="64">
        <v>10.7</v>
      </c>
    </row>
    <row r="421" spans="1:62" ht="12.75">
      <c r="A421" s="5" t="s">
        <v>166</v>
      </c>
      <c r="B421" s="5" t="s">
        <v>478</v>
      </c>
      <c r="C421" s="99" t="s">
        <v>835</v>
      </c>
      <c r="D421" s="100"/>
      <c r="E421" s="100"/>
      <c r="F421" s="5" t="s">
        <v>984</v>
      </c>
      <c r="G421" s="63">
        <v>101.44</v>
      </c>
      <c r="H421" s="18">
        <v>0</v>
      </c>
      <c r="I421" s="18">
        <f>G421*AO421</f>
        <v>0</v>
      </c>
      <c r="J421" s="18">
        <f>G421*AP421</f>
        <v>0</v>
      </c>
      <c r="K421" s="18">
        <f>G421*H421</f>
        <v>0</v>
      </c>
      <c r="L421" s="29"/>
      <c r="Z421" s="34">
        <f>IF(AQ421="5",BJ421,0)</f>
        <v>0</v>
      </c>
      <c r="AB421" s="34">
        <f>IF(AQ421="1",BH421,0)</f>
        <v>0</v>
      </c>
      <c r="AC421" s="34">
        <f>IF(AQ421="1",BI421,0)</f>
        <v>0</v>
      </c>
      <c r="AD421" s="34">
        <f>IF(AQ421="7",BH421,0)</f>
        <v>0</v>
      </c>
      <c r="AE421" s="34">
        <f>IF(AQ421="7",BI421,0)</f>
        <v>0</v>
      </c>
      <c r="AF421" s="34">
        <f>IF(AQ421="2",BH421,0)</f>
        <v>0</v>
      </c>
      <c r="AG421" s="34">
        <f>IF(AQ421="2",BI421,0)</f>
        <v>0</v>
      </c>
      <c r="AH421" s="34">
        <f>IF(AQ421="0",BJ421,0)</f>
        <v>0</v>
      </c>
      <c r="AI421" s="28" t="s">
        <v>1021</v>
      </c>
      <c r="AJ421" s="18">
        <f>IF(AN421=0,K421,0)</f>
        <v>0</v>
      </c>
      <c r="AK421" s="18">
        <f>IF(AN421=15,K421,0)</f>
        <v>0</v>
      </c>
      <c r="AL421" s="18">
        <f>IF(AN421=21,K421,0)</f>
        <v>0</v>
      </c>
      <c r="AN421" s="34">
        <v>21</v>
      </c>
      <c r="AO421" s="34">
        <f>H421*0.158742393509128</f>
        <v>0</v>
      </c>
      <c r="AP421" s="34">
        <f>H421*(1-0.158742393509128)</f>
        <v>0</v>
      </c>
      <c r="AQ421" s="29" t="s">
        <v>6</v>
      </c>
      <c r="AV421" s="34">
        <f>AW421+AX421</f>
        <v>0</v>
      </c>
      <c r="AW421" s="34">
        <f>G421*AO421</f>
        <v>0</v>
      </c>
      <c r="AX421" s="34">
        <f>G421*AP421</f>
        <v>0</v>
      </c>
      <c r="AY421" s="35" t="s">
        <v>1031</v>
      </c>
      <c r="AZ421" s="35" t="s">
        <v>1075</v>
      </c>
      <c r="BA421" s="28" t="s">
        <v>1086</v>
      </c>
      <c r="BC421" s="34">
        <f>AW421+AX421</f>
        <v>0</v>
      </c>
      <c r="BD421" s="34">
        <f>H421/(100-BE421)*100</f>
        <v>0</v>
      </c>
      <c r="BE421" s="34">
        <v>0</v>
      </c>
      <c r="BF421" s="34">
        <f>421</f>
        <v>421</v>
      </c>
      <c r="BH421" s="18">
        <f>G421*AO421</f>
        <v>0</v>
      </c>
      <c r="BI421" s="18">
        <f>G421*AP421</f>
        <v>0</v>
      </c>
      <c r="BJ421" s="18">
        <f>G421*H421</f>
        <v>0</v>
      </c>
    </row>
    <row r="422" spans="3:7" ht="12.75">
      <c r="C422" s="101" t="s">
        <v>836</v>
      </c>
      <c r="D422" s="102"/>
      <c r="E422" s="102"/>
      <c r="G422" s="64">
        <v>30.54</v>
      </c>
    </row>
    <row r="423" spans="3:7" ht="12.75">
      <c r="C423" s="101" t="s">
        <v>837</v>
      </c>
      <c r="D423" s="102"/>
      <c r="E423" s="102"/>
      <c r="G423" s="64">
        <v>67.5</v>
      </c>
    </row>
    <row r="424" spans="3:7" ht="12.75">
      <c r="C424" s="101" t="s">
        <v>838</v>
      </c>
      <c r="D424" s="102"/>
      <c r="E424" s="102"/>
      <c r="G424" s="64">
        <v>3.4</v>
      </c>
    </row>
    <row r="425" spans="1:62" ht="12.75">
      <c r="A425" s="6" t="s">
        <v>167</v>
      </c>
      <c r="B425" s="6" t="s">
        <v>479</v>
      </c>
      <c r="C425" s="103" t="s">
        <v>839</v>
      </c>
      <c r="D425" s="104"/>
      <c r="E425" s="104"/>
      <c r="F425" s="6" t="s">
        <v>984</v>
      </c>
      <c r="G425" s="65">
        <v>74.25</v>
      </c>
      <c r="H425" s="19">
        <v>0</v>
      </c>
      <c r="I425" s="19">
        <f>G425*AO425</f>
        <v>0</v>
      </c>
      <c r="J425" s="19">
        <f>G425*AP425</f>
        <v>0</v>
      </c>
      <c r="K425" s="19">
        <f>G425*H425</f>
        <v>0</v>
      </c>
      <c r="L425" s="30"/>
      <c r="Z425" s="34">
        <f>IF(AQ425="5",BJ425,0)</f>
        <v>0</v>
      </c>
      <c r="AB425" s="34">
        <f>IF(AQ425="1",BH425,0)</f>
        <v>0</v>
      </c>
      <c r="AC425" s="34">
        <f>IF(AQ425="1",BI425,0)</f>
        <v>0</v>
      </c>
      <c r="AD425" s="34">
        <f>IF(AQ425="7",BH425,0)</f>
        <v>0</v>
      </c>
      <c r="AE425" s="34">
        <f>IF(AQ425="7",BI425,0)</f>
        <v>0</v>
      </c>
      <c r="AF425" s="34">
        <f>IF(AQ425="2",BH425,0)</f>
        <v>0</v>
      </c>
      <c r="AG425" s="34">
        <f>IF(AQ425="2",BI425,0)</f>
        <v>0</v>
      </c>
      <c r="AH425" s="34">
        <f>IF(AQ425="0",BJ425,0)</f>
        <v>0</v>
      </c>
      <c r="AI425" s="28" t="s">
        <v>1021</v>
      </c>
      <c r="AJ425" s="19">
        <f>IF(AN425=0,K425,0)</f>
        <v>0</v>
      </c>
      <c r="AK425" s="19">
        <f>IF(AN425=15,K425,0)</f>
        <v>0</v>
      </c>
      <c r="AL425" s="19">
        <f>IF(AN425=21,K425,0)</f>
        <v>0</v>
      </c>
      <c r="AN425" s="34">
        <v>21</v>
      </c>
      <c r="AO425" s="34">
        <f>H425*1</f>
        <v>0</v>
      </c>
      <c r="AP425" s="34">
        <f>H425*(1-1)</f>
        <v>0</v>
      </c>
      <c r="AQ425" s="30" t="s">
        <v>6</v>
      </c>
      <c r="AV425" s="34">
        <f>AW425+AX425</f>
        <v>0</v>
      </c>
      <c r="AW425" s="34">
        <f>G425*AO425</f>
        <v>0</v>
      </c>
      <c r="AX425" s="34">
        <f>G425*AP425</f>
        <v>0</v>
      </c>
      <c r="AY425" s="35" t="s">
        <v>1031</v>
      </c>
      <c r="AZ425" s="35" t="s">
        <v>1075</v>
      </c>
      <c r="BA425" s="28" t="s">
        <v>1086</v>
      </c>
      <c r="BC425" s="34">
        <f>AW425+AX425</f>
        <v>0</v>
      </c>
      <c r="BD425" s="34">
        <f>H425/(100-BE425)*100</f>
        <v>0</v>
      </c>
      <c r="BE425" s="34">
        <v>0</v>
      </c>
      <c r="BF425" s="34">
        <f>425</f>
        <v>425</v>
      </c>
      <c r="BH425" s="19">
        <f>G425*AO425</f>
        <v>0</v>
      </c>
      <c r="BI425" s="19">
        <f>G425*AP425</f>
        <v>0</v>
      </c>
      <c r="BJ425" s="19">
        <f>G425*H425</f>
        <v>0</v>
      </c>
    </row>
    <row r="426" spans="3:7" ht="12.75">
      <c r="C426" s="101" t="s">
        <v>837</v>
      </c>
      <c r="D426" s="102"/>
      <c r="E426" s="102"/>
      <c r="G426" s="64">
        <v>67.5</v>
      </c>
    </row>
    <row r="427" spans="3:7" ht="12.75">
      <c r="C427" s="101" t="s">
        <v>840</v>
      </c>
      <c r="D427" s="102"/>
      <c r="E427" s="102"/>
      <c r="G427" s="64">
        <v>6.75</v>
      </c>
    </row>
    <row r="428" spans="1:62" ht="12.75">
      <c r="A428" s="5" t="s">
        <v>168</v>
      </c>
      <c r="B428" s="5" t="s">
        <v>480</v>
      </c>
      <c r="C428" s="99" t="s">
        <v>841</v>
      </c>
      <c r="D428" s="100"/>
      <c r="E428" s="100"/>
      <c r="F428" s="5" t="s">
        <v>988</v>
      </c>
      <c r="G428" s="63">
        <v>17</v>
      </c>
      <c r="H428" s="18">
        <v>0</v>
      </c>
      <c r="I428" s="18">
        <f>G428*AO428</f>
        <v>0</v>
      </c>
      <c r="J428" s="18">
        <f>G428*AP428</f>
        <v>0</v>
      </c>
      <c r="K428" s="18">
        <f>G428*H428</f>
        <v>0</v>
      </c>
      <c r="L428" s="29"/>
      <c r="Z428" s="34">
        <f>IF(AQ428="5",BJ428,0)</f>
        <v>0</v>
      </c>
      <c r="AB428" s="34">
        <f>IF(AQ428="1",BH428,0)</f>
        <v>0</v>
      </c>
      <c r="AC428" s="34">
        <f>IF(AQ428="1",BI428,0)</f>
        <v>0</v>
      </c>
      <c r="AD428" s="34">
        <f>IF(AQ428="7",BH428,0)</f>
        <v>0</v>
      </c>
      <c r="AE428" s="34">
        <f>IF(AQ428="7",BI428,0)</f>
        <v>0</v>
      </c>
      <c r="AF428" s="34">
        <f>IF(AQ428="2",BH428,0)</f>
        <v>0</v>
      </c>
      <c r="AG428" s="34">
        <f>IF(AQ428="2",BI428,0)</f>
        <v>0</v>
      </c>
      <c r="AH428" s="34">
        <f>IF(AQ428="0",BJ428,0)</f>
        <v>0</v>
      </c>
      <c r="AI428" s="28" t="s">
        <v>1021</v>
      </c>
      <c r="AJ428" s="18">
        <f>IF(AN428=0,K428,0)</f>
        <v>0</v>
      </c>
      <c r="AK428" s="18">
        <f>IF(AN428=15,K428,0)</f>
        <v>0</v>
      </c>
      <c r="AL428" s="18">
        <f>IF(AN428=21,K428,0)</f>
        <v>0</v>
      </c>
      <c r="AN428" s="34">
        <v>21</v>
      </c>
      <c r="AO428" s="34">
        <f>H428*0.92594481318874</f>
        <v>0</v>
      </c>
      <c r="AP428" s="34">
        <f>H428*(1-0.92594481318874)</f>
        <v>0</v>
      </c>
      <c r="AQ428" s="29" t="s">
        <v>6</v>
      </c>
      <c r="AV428" s="34">
        <f>AW428+AX428</f>
        <v>0</v>
      </c>
      <c r="AW428" s="34">
        <f>G428*AO428</f>
        <v>0</v>
      </c>
      <c r="AX428" s="34">
        <f>G428*AP428</f>
        <v>0</v>
      </c>
      <c r="AY428" s="35" t="s">
        <v>1031</v>
      </c>
      <c r="AZ428" s="35" t="s">
        <v>1075</v>
      </c>
      <c r="BA428" s="28" t="s">
        <v>1086</v>
      </c>
      <c r="BC428" s="34">
        <f>AW428+AX428</f>
        <v>0</v>
      </c>
      <c r="BD428" s="34">
        <f>H428/(100-BE428)*100</f>
        <v>0</v>
      </c>
      <c r="BE428" s="34">
        <v>0</v>
      </c>
      <c r="BF428" s="34">
        <f>428</f>
        <v>428</v>
      </c>
      <c r="BH428" s="18">
        <f>G428*AO428</f>
        <v>0</v>
      </c>
      <c r="BI428" s="18">
        <f>G428*AP428</f>
        <v>0</v>
      </c>
      <c r="BJ428" s="18">
        <f>G428*H428</f>
        <v>0</v>
      </c>
    </row>
    <row r="429" spans="3:7" ht="12.75">
      <c r="C429" s="101" t="s">
        <v>792</v>
      </c>
      <c r="D429" s="102"/>
      <c r="E429" s="102"/>
      <c r="G429" s="64">
        <v>17</v>
      </c>
    </row>
    <row r="430" spans="1:62" ht="12.75">
      <c r="A430" s="5" t="s">
        <v>169</v>
      </c>
      <c r="B430" s="5" t="s">
        <v>337</v>
      </c>
      <c r="C430" s="99" t="s">
        <v>562</v>
      </c>
      <c r="D430" s="100"/>
      <c r="E430" s="100"/>
      <c r="F430" s="5" t="s">
        <v>984</v>
      </c>
      <c r="G430" s="63">
        <v>23.15</v>
      </c>
      <c r="H430" s="18">
        <v>0</v>
      </c>
      <c r="I430" s="18">
        <f>G430*AO430</f>
        <v>0</v>
      </c>
      <c r="J430" s="18">
        <f>G430*AP430</f>
        <v>0</v>
      </c>
      <c r="K430" s="18">
        <f>G430*H430</f>
        <v>0</v>
      </c>
      <c r="L430" s="29"/>
      <c r="Z430" s="34">
        <f>IF(AQ430="5",BJ430,0)</f>
        <v>0</v>
      </c>
      <c r="AB430" s="34">
        <f>IF(AQ430="1",BH430,0)</f>
        <v>0</v>
      </c>
      <c r="AC430" s="34">
        <f>IF(AQ430="1",BI430,0)</f>
        <v>0</v>
      </c>
      <c r="AD430" s="34">
        <f>IF(AQ430="7",BH430,0)</f>
        <v>0</v>
      </c>
      <c r="AE430" s="34">
        <f>IF(AQ430="7",BI430,0)</f>
        <v>0</v>
      </c>
      <c r="AF430" s="34">
        <f>IF(AQ430="2",BH430,0)</f>
        <v>0</v>
      </c>
      <c r="AG430" s="34">
        <f>IF(AQ430="2",BI430,0)</f>
        <v>0</v>
      </c>
      <c r="AH430" s="34">
        <f>IF(AQ430="0",BJ430,0)</f>
        <v>0</v>
      </c>
      <c r="AI430" s="28" t="s">
        <v>1021</v>
      </c>
      <c r="AJ430" s="18">
        <f>IF(AN430=0,K430,0)</f>
        <v>0</v>
      </c>
      <c r="AK430" s="18">
        <f>IF(AN430=15,K430,0)</f>
        <v>0</v>
      </c>
      <c r="AL430" s="18">
        <f>IF(AN430=21,K430,0)</f>
        <v>0</v>
      </c>
      <c r="AN430" s="34">
        <v>21</v>
      </c>
      <c r="AO430" s="34">
        <f>H430*0.151081081081081</f>
        <v>0</v>
      </c>
      <c r="AP430" s="34">
        <f>H430*(1-0.151081081081081)</f>
        <v>0</v>
      </c>
      <c r="AQ430" s="29" t="s">
        <v>6</v>
      </c>
      <c r="AV430" s="34">
        <f>AW430+AX430</f>
        <v>0</v>
      </c>
      <c r="AW430" s="34">
        <f>G430*AO430</f>
        <v>0</v>
      </c>
      <c r="AX430" s="34">
        <f>G430*AP430</f>
        <v>0</v>
      </c>
      <c r="AY430" s="35" t="s">
        <v>1031</v>
      </c>
      <c r="AZ430" s="35" t="s">
        <v>1075</v>
      </c>
      <c r="BA430" s="28" t="s">
        <v>1086</v>
      </c>
      <c r="BC430" s="34">
        <f>AW430+AX430</f>
        <v>0</v>
      </c>
      <c r="BD430" s="34">
        <f>H430/(100-BE430)*100</f>
        <v>0</v>
      </c>
      <c r="BE430" s="34">
        <v>0</v>
      </c>
      <c r="BF430" s="34">
        <f>430</f>
        <v>430</v>
      </c>
      <c r="BH430" s="18">
        <f>G430*AO430</f>
        <v>0</v>
      </c>
      <c r="BI430" s="18">
        <f>G430*AP430</f>
        <v>0</v>
      </c>
      <c r="BJ430" s="18">
        <f>G430*H430</f>
        <v>0</v>
      </c>
    </row>
    <row r="431" spans="3:7" ht="12.75">
      <c r="C431" s="101" t="s">
        <v>784</v>
      </c>
      <c r="D431" s="102"/>
      <c r="E431" s="102"/>
      <c r="G431" s="64">
        <v>23.15</v>
      </c>
    </row>
    <row r="432" spans="1:62" ht="12.75">
      <c r="A432" s="5" t="s">
        <v>170</v>
      </c>
      <c r="B432" s="5" t="s">
        <v>338</v>
      </c>
      <c r="C432" s="99" t="s">
        <v>563</v>
      </c>
      <c r="D432" s="100"/>
      <c r="E432" s="100"/>
      <c r="F432" s="5" t="s">
        <v>986</v>
      </c>
      <c r="G432" s="63">
        <v>23.15</v>
      </c>
      <c r="H432" s="18">
        <v>0</v>
      </c>
      <c r="I432" s="18">
        <f>G432*AO432</f>
        <v>0</v>
      </c>
      <c r="J432" s="18">
        <f>G432*AP432</f>
        <v>0</v>
      </c>
      <c r="K432" s="18">
        <f>G432*H432</f>
        <v>0</v>
      </c>
      <c r="L432" s="29"/>
      <c r="Z432" s="34">
        <f>IF(AQ432="5",BJ432,0)</f>
        <v>0</v>
      </c>
      <c r="AB432" s="34">
        <f>IF(AQ432="1",BH432,0)</f>
        <v>0</v>
      </c>
      <c r="AC432" s="34">
        <f>IF(AQ432="1",BI432,0)</f>
        <v>0</v>
      </c>
      <c r="AD432" s="34">
        <f>IF(AQ432="7",BH432,0)</f>
        <v>0</v>
      </c>
      <c r="AE432" s="34">
        <f>IF(AQ432="7",BI432,0)</f>
        <v>0</v>
      </c>
      <c r="AF432" s="34">
        <f>IF(AQ432="2",BH432,0)</f>
        <v>0</v>
      </c>
      <c r="AG432" s="34">
        <f>IF(AQ432="2",BI432,0)</f>
        <v>0</v>
      </c>
      <c r="AH432" s="34">
        <f>IF(AQ432="0",BJ432,0)</f>
        <v>0</v>
      </c>
      <c r="AI432" s="28" t="s">
        <v>1021</v>
      </c>
      <c r="AJ432" s="18">
        <f>IF(AN432=0,K432,0)</f>
        <v>0</v>
      </c>
      <c r="AK432" s="18">
        <f>IF(AN432=15,K432,0)</f>
        <v>0</v>
      </c>
      <c r="AL432" s="18">
        <f>IF(AN432=21,K432,0)</f>
        <v>0</v>
      </c>
      <c r="AN432" s="34">
        <v>21</v>
      </c>
      <c r="AO432" s="34">
        <f>H432*0.0619396551724138</f>
        <v>0</v>
      </c>
      <c r="AP432" s="34">
        <f>H432*(1-0.0619396551724138)</f>
        <v>0</v>
      </c>
      <c r="AQ432" s="29" t="s">
        <v>6</v>
      </c>
      <c r="AV432" s="34">
        <f>AW432+AX432</f>
        <v>0</v>
      </c>
      <c r="AW432" s="34">
        <f>G432*AO432</f>
        <v>0</v>
      </c>
      <c r="AX432" s="34">
        <f>G432*AP432</f>
        <v>0</v>
      </c>
      <c r="AY432" s="35" t="s">
        <v>1031</v>
      </c>
      <c r="AZ432" s="35" t="s">
        <v>1075</v>
      </c>
      <c r="BA432" s="28" t="s">
        <v>1086</v>
      </c>
      <c r="BC432" s="34">
        <f>AW432+AX432</f>
        <v>0</v>
      </c>
      <c r="BD432" s="34">
        <f>H432/(100-BE432)*100</f>
        <v>0</v>
      </c>
      <c r="BE432" s="34">
        <v>0</v>
      </c>
      <c r="BF432" s="34">
        <f>432</f>
        <v>432</v>
      </c>
      <c r="BH432" s="18">
        <f>G432*AO432</f>
        <v>0</v>
      </c>
      <c r="BI432" s="18">
        <f>G432*AP432</f>
        <v>0</v>
      </c>
      <c r="BJ432" s="18">
        <f>G432*H432</f>
        <v>0</v>
      </c>
    </row>
    <row r="433" spans="3:7" ht="12.75">
      <c r="C433" s="101" t="s">
        <v>842</v>
      </c>
      <c r="D433" s="102"/>
      <c r="E433" s="102"/>
      <c r="G433" s="64">
        <v>23.15</v>
      </c>
    </row>
    <row r="434" spans="1:47" ht="12.75">
      <c r="A434" s="4"/>
      <c r="B434" s="14" t="s">
        <v>11</v>
      </c>
      <c r="C434" s="97" t="s">
        <v>565</v>
      </c>
      <c r="D434" s="98"/>
      <c r="E434" s="98"/>
      <c r="F434" s="4" t="s">
        <v>5</v>
      </c>
      <c r="G434" s="4" t="s">
        <v>5</v>
      </c>
      <c r="H434" s="4" t="s">
        <v>5</v>
      </c>
      <c r="I434" s="37">
        <f>SUM(I435:I443)</f>
        <v>0</v>
      </c>
      <c r="J434" s="37">
        <f>SUM(J435:J443)</f>
        <v>0</v>
      </c>
      <c r="K434" s="37">
        <f>SUM(K435:K443)</f>
        <v>0</v>
      </c>
      <c r="L434" s="28"/>
      <c r="AI434" s="28" t="s">
        <v>1021</v>
      </c>
      <c r="AS434" s="37">
        <f>SUM(AJ435:AJ443)</f>
        <v>0</v>
      </c>
      <c r="AT434" s="37">
        <f>SUM(AK435:AK443)</f>
        <v>0</v>
      </c>
      <c r="AU434" s="37">
        <f>SUM(AL435:AL443)</f>
        <v>0</v>
      </c>
    </row>
    <row r="435" spans="1:62" ht="12.75">
      <c r="A435" s="5" t="s">
        <v>171</v>
      </c>
      <c r="B435" s="5" t="s">
        <v>339</v>
      </c>
      <c r="C435" s="99" t="s">
        <v>566</v>
      </c>
      <c r="D435" s="100"/>
      <c r="E435" s="100"/>
      <c r="F435" s="5" t="s">
        <v>984</v>
      </c>
      <c r="G435" s="63">
        <v>302.39</v>
      </c>
      <c r="H435" s="18">
        <v>0</v>
      </c>
      <c r="I435" s="18">
        <f>G435*AO435</f>
        <v>0</v>
      </c>
      <c r="J435" s="18">
        <f>G435*AP435</f>
        <v>0</v>
      </c>
      <c r="K435" s="18">
        <f>G435*H435</f>
        <v>0</v>
      </c>
      <c r="L435" s="29"/>
      <c r="Z435" s="34">
        <f>IF(AQ435="5",BJ435,0)</f>
        <v>0</v>
      </c>
      <c r="AB435" s="34">
        <f>IF(AQ435="1",BH435,0)</f>
        <v>0</v>
      </c>
      <c r="AC435" s="34">
        <f>IF(AQ435="1",BI435,0)</f>
        <v>0</v>
      </c>
      <c r="AD435" s="34">
        <f>IF(AQ435="7",BH435,0)</f>
        <v>0</v>
      </c>
      <c r="AE435" s="34">
        <f>IF(AQ435="7",BI435,0)</f>
        <v>0</v>
      </c>
      <c r="AF435" s="34">
        <f>IF(AQ435="2",BH435,0)</f>
        <v>0</v>
      </c>
      <c r="AG435" s="34">
        <f>IF(AQ435="2",BI435,0)</f>
        <v>0</v>
      </c>
      <c r="AH435" s="34">
        <f>IF(AQ435="0",BJ435,0)</f>
        <v>0</v>
      </c>
      <c r="AI435" s="28" t="s">
        <v>1021</v>
      </c>
      <c r="AJ435" s="18">
        <f>IF(AN435=0,K435,0)</f>
        <v>0</v>
      </c>
      <c r="AK435" s="18">
        <f>IF(AN435=15,K435,0)</f>
        <v>0</v>
      </c>
      <c r="AL435" s="18">
        <f>IF(AN435=21,K435,0)</f>
        <v>0</v>
      </c>
      <c r="AN435" s="34">
        <v>21</v>
      </c>
      <c r="AO435" s="34">
        <f>H435*0.652472633262028</f>
        <v>0</v>
      </c>
      <c r="AP435" s="34">
        <f>H435*(1-0.652472633262028)</f>
        <v>0</v>
      </c>
      <c r="AQ435" s="29" t="s">
        <v>6</v>
      </c>
      <c r="AV435" s="34">
        <f>AW435+AX435</f>
        <v>0</v>
      </c>
      <c r="AW435" s="34">
        <f>G435*AO435</f>
        <v>0</v>
      </c>
      <c r="AX435" s="34">
        <f>G435*AP435</f>
        <v>0</v>
      </c>
      <c r="AY435" s="35" t="s">
        <v>1032</v>
      </c>
      <c r="AZ435" s="35" t="s">
        <v>1076</v>
      </c>
      <c r="BA435" s="28" t="s">
        <v>1086</v>
      </c>
      <c r="BC435" s="34">
        <f>AW435+AX435</f>
        <v>0</v>
      </c>
      <c r="BD435" s="34">
        <f>H435/(100-BE435)*100</f>
        <v>0</v>
      </c>
      <c r="BE435" s="34">
        <v>0</v>
      </c>
      <c r="BF435" s="34">
        <f>435</f>
        <v>435</v>
      </c>
      <c r="BH435" s="18">
        <f>G435*AO435</f>
        <v>0</v>
      </c>
      <c r="BI435" s="18">
        <f>G435*AP435</f>
        <v>0</v>
      </c>
      <c r="BJ435" s="18">
        <f>G435*H435</f>
        <v>0</v>
      </c>
    </row>
    <row r="436" spans="3:7" ht="12.75">
      <c r="C436" s="101" t="s">
        <v>843</v>
      </c>
      <c r="D436" s="102"/>
      <c r="E436" s="102"/>
      <c r="G436" s="64">
        <v>302.39</v>
      </c>
    </row>
    <row r="437" spans="1:62" ht="12.75">
      <c r="A437" s="5" t="s">
        <v>172</v>
      </c>
      <c r="B437" s="5" t="s">
        <v>340</v>
      </c>
      <c r="C437" s="99" t="s">
        <v>568</v>
      </c>
      <c r="D437" s="100"/>
      <c r="E437" s="100"/>
      <c r="F437" s="5" t="s">
        <v>984</v>
      </c>
      <c r="G437" s="63">
        <v>302.39</v>
      </c>
      <c r="H437" s="18">
        <v>0</v>
      </c>
      <c r="I437" s="18">
        <f>G437*AO437</f>
        <v>0</v>
      </c>
      <c r="J437" s="18">
        <f>G437*AP437</f>
        <v>0</v>
      </c>
      <c r="K437" s="18">
        <f>G437*H437</f>
        <v>0</v>
      </c>
      <c r="L437" s="29"/>
      <c r="Z437" s="34">
        <f>IF(AQ437="5",BJ437,0)</f>
        <v>0</v>
      </c>
      <c r="AB437" s="34">
        <f>IF(AQ437="1",BH437,0)</f>
        <v>0</v>
      </c>
      <c r="AC437" s="34">
        <f>IF(AQ437="1",BI437,0)</f>
        <v>0</v>
      </c>
      <c r="AD437" s="34">
        <f>IF(AQ437="7",BH437,0)</f>
        <v>0</v>
      </c>
      <c r="AE437" s="34">
        <f>IF(AQ437="7",BI437,0)</f>
        <v>0</v>
      </c>
      <c r="AF437" s="34">
        <f>IF(AQ437="2",BH437,0)</f>
        <v>0</v>
      </c>
      <c r="AG437" s="34">
        <f>IF(AQ437="2",BI437,0)</f>
        <v>0</v>
      </c>
      <c r="AH437" s="34">
        <f>IF(AQ437="0",BJ437,0)</f>
        <v>0</v>
      </c>
      <c r="AI437" s="28" t="s">
        <v>1021</v>
      </c>
      <c r="AJ437" s="18">
        <f>IF(AN437=0,K437,0)</f>
        <v>0</v>
      </c>
      <c r="AK437" s="18">
        <f>IF(AN437=15,K437,0)</f>
        <v>0</v>
      </c>
      <c r="AL437" s="18">
        <f>IF(AN437=21,K437,0)</f>
        <v>0</v>
      </c>
      <c r="AN437" s="34">
        <v>21</v>
      </c>
      <c r="AO437" s="34">
        <f>H437*0.512446497395214</f>
        <v>0</v>
      </c>
      <c r="AP437" s="34">
        <f>H437*(1-0.512446497395214)</f>
        <v>0</v>
      </c>
      <c r="AQ437" s="29" t="s">
        <v>6</v>
      </c>
      <c r="AV437" s="34">
        <f>AW437+AX437</f>
        <v>0</v>
      </c>
      <c r="AW437" s="34">
        <f>G437*AO437</f>
        <v>0</v>
      </c>
      <c r="AX437" s="34">
        <f>G437*AP437</f>
        <v>0</v>
      </c>
      <c r="AY437" s="35" t="s">
        <v>1032</v>
      </c>
      <c r="AZ437" s="35" t="s">
        <v>1076</v>
      </c>
      <c r="BA437" s="28" t="s">
        <v>1086</v>
      </c>
      <c r="BC437" s="34">
        <f>AW437+AX437</f>
        <v>0</v>
      </c>
      <c r="BD437" s="34">
        <f>H437/(100-BE437)*100</f>
        <v>0</v>
      </c>
      <c r="BE437" s="34">
        <v>0</v>
      </c>
      <c r="BF437" s="34">
        <f>437</f>
        <v>437</v>
      </c>
      <c r="BH437" s="18">
        <f>G437*AO437</f>
        <v>0</v>
      </c>
      <c r="BI437" s="18">
        <f>G437*AP437</f>
        <v>0</v>
      </c>
      <c r="BJ437" s="18">
        <f>G437*H437</f>
        <v>0</v>
      </c>
    </row>
    <row r="438" spans="3:7" ht="12.75">
      <c r="C438" s="101" t="s">
        <v>844</v>
      </c>
      <c r="D438" s="102"/>
      <c r="E438" s="102"/>
      <c r="G438" s="64">
        <v>302.39</v>
      </c>
    </row>
    <row r="439" spans="1:62" ht="12.75">
      <c r="A439" s="5" t="s">
        <v>173</v>
      </c>
      <c r="B439" s="5" t="s">
        <v>341</v>
      </c>
      <c r="C439" s="99" t="s">
        <v>570</v>
      </c>
      <c r="D439" s="100"/>
      <c r="E439" s="100"/>
      <c r="F439" s="5" t="s">
        <v>984</v>
      </c>
      <c r="G439" s="63">
        <v>37.291</v>
      </c>
      <c r="H439" s="18">
        <v>0</v>
      </c>
      <c r="I439" s="18">
        <f>G439*AO439</f>
        <v>0</v>
      </c>
      <c r="J439" s="18">
        <f>G439*AP439</f>
        <v>0</v>
      </c>
      <c r="K439" s="18">
        <f>G439*H439</f>
        <v>0</v>
      </c>
      <c r="L439" s="29"/>
      <c r="Z439" s="34">
        <f>IF(AQ439="5",BJ439,0)</f>
        <v>0</v>
      </c>
      <c r="AB439" s="34">
        <f>IF(AQ439="1",BH439,0)</f>
        <v>0</v>
      </c>
      <c r="AC439" s="34">
        <f>IF(AQ439="1",BI439,0)</f>
        <v>0</v>
      </c>
      <c r="AD439" s="34">
        <f>IF(AQ439="7",BH439,0)</f>
        <v>0</v>
      </c>
      <c r="AE439" s="34">
        <f>IF(AQ439="7",BI439,0)</f>
        <v>0</v>
      </c>
      <c r="AF439" s="34">
        <f>IF(AQ439="2",BH439,0)</f>
        <v>0</v>
      </c>
      <c r="AG439" s="34">
        <f>IF(AQ439="2",BI439,0)</f>
        <v>0</v>
      </c>
      <c r="AH439" s="34">
        <f>IF(AQ439="0",BJ439,0)</f>
        <v>0</v>
      </c>
      <c r="AI439" s="28" t="s">
        <v>1021</v>
      </c>
      <c r="AJ439" s="18">
        <f>IF(AN439=0,K439,0)</f>
        <v>0</v>
      </c>
      <c r="AK439" s="18">
        <f>IF(AN439=15,K439,0)</f>
        <v>0</v>
      </c>
      <c r="AL439" s="18">
        <f>IF(AN439=21,K439,0)</f>
        <v>0</v>
      </c>
      <c r="AN439" s="34">
        <v>21</v>
      </c>
      <c r="AO439" s="34">
        <f>H439*0.662314766878664</f>
        <v>0</v>
      </c>
      <c r="AP439" s="34">
        <f>H439*(1-0.662314766878664)</f>
        <v>0</v>
      </c>
      <c r="AQ439" s="29" t="s">
        <v>6</v>
      </c>
      <c r="AV439" s="34">
        <f>AW439+AX439</f>
        <v>0</v>
      </c>
      <c r="AW439" s="34">
        <f>G439*AO439</f>
        <v>0</v>
      </c>
      <c r="AX439" s="34">
        <f>G439*AP439</f>
        <v>0</v>
      </c>
      <c r="AY439" s="35" t="s">
        <v>1032</v>
      </c>
      <c r="AZ439" s="35" t="s">
        <v>1076</v>
      </c>
      <c r="BA439" s="28" t="s">
        <v>1086</v>
      </c>
      <c r="BC439" s="34">
        <f>AW439+AX439</f>
        <v>0</v>
      </c>
      <c r="BD439" s="34">
        <f>H439/(100-BE439)*100</f>
        <v>0</v>
      </c>
      <c r="BE439" s="34">
        <v>0</v>
      </c>
      <c r="BF439" s="34">
        <f>439</f>
        <v>439</v>
      </c>
      <c r="BH439" s="18">
        <f>G439*AO439</f>
        <v>0</v>
      </c>
      <c r="BI439" s="18">
        <f>G439*AP439</f>
        <v>0</v>
      </c>
      <c r="BJ439" s="18">
        <f>G439*H439</f>
        <v>0</v>
      </c>
    </row>
    <row r="440" spans="3:7" ht="12.75">
      <c r="C440" s="101" t="s">
        <v>845</v>
      </c>
      <c r="D440" s="102"/>
      <c r="E440" s="102"/>
      <c r="G440" s="64">
        <v>37.291</v>
      </c>
    </row>
    <row r="441" spans="1:62" ht="12.75">
      <c r="A441" s="5" t="s">
        <v>174</v>
      </c>
      <c r="B441" s="5" t="s">
        <v>342</v>
      </c>
      <c r="C441" s="99" t="s">
        <v>572</v>
      </c>
      <c r="D441" s="100"/>
      <c r="E441" s="100"/>
      <c r="F441" s="5" t="s">
        <v>984</v>
      </c>
      <c r="G441" s="63">
        <v>37.291</v>
      </c>
      <c r="H441" s="18">
        <v>0</v>
      </c>
      <c r="I441" s="18">
        <f>G441*AO441</f>
        <v>0</v>
      </c>
      <c r="J441" s="18">
        <f>G441*AP441</f>
        <v>0</v>
      </c>
      <c r="K441" s="18">
        <f>G441*H441</f>
        <v>0</v>
      </c>
      <c r="L441" s="29"/>
      <c r="Z441" s="34">
        <f>IF(AQ441="5",BJ441,0)</f>
        <v>0</v>
      </c>
      <c r="AB441" s="34">
        <f>IF(AQ441="1",BH441,0)</f>
        <v>0</v>
      </c>
      <c r="AC441" s="34">
        <f>IF(AQ441="1",BI441,0)</f>
        <v>0</v>
      </c>
      <c r="AD441" s="34">
        <f>IF(AQ441="7",BH441,0)</f>
        <v>0</v>
      </c>
      <c r="AE441" s="34">
        <f>IF(AQ441="7",BI441,0)</f>
        <v>0</v>
      </c>
      <c r="AF441" s="34">
        <f>IF(AQ441="2",BH441,0)</f>
        <v>0</v>
      </c>
      <c r="AG441" s="34">
        <f>IF(AQ441="2",BI441,0)</f>
        <v>0</v>
      </c>
      <c r="AH441" s="34">
        <f>IF(AQ441="0",BJ441,0)</f>
        <v>0</v>
      </c>
      <c r="AI441" s="28" t="s">
        <v>1021</v>
      </c>
      <c r="AJ441" s="18">
        <f>IF(AN441=0,K441,0)</f>
        <v>0</v>
      </c>
      <c r="AK441" s="18">
        <f>IF(AN441=15,K441,0)</f>
        <v>0</v>
      </c>
      <c r="AL441" s="18">
        <f>IF(AN441=21,K441,0)</f>
        <v>0</v>
      </c>
      <c r="AN441" s="34">
        <v>21</v>
      </c>
      <c r="AO441" s="34">
        <f>H441*0.555523140875752</f>
        <v>0</v>
      </c>
      <c r="AP441" s="34">
        <f>H441*(1-0.555523140875752)</f>
        <v>0</v>
      </c>
      <c r="AQ441" s="29" t="s">
        <v>6</v>
      </c>
      <c r="AV441" s="34">
        <f>AW441+AX441</f>
        <v>0</v>
      </c>
      <c r="AW441" s="34">
        <f>G441*AO441</f>
        <v>0</v>
      </c>
      <c r="AX441" s="34">
        <f>G441*AP441</f>
        <v>0</v>
      </c>
      <c r="AY441" s="35" t="s">
        <v>1032</v>
      </c>
      <c r="AZ441" s="35" t="s">
        <v>1076</v>
      </c>
      <c r="BA441" s="28" t="s">
        <v>1086</v>
      </c>
      <c r="BC441" s="34">
        <f>AW441+AX441</f>
        <v>0</v>
      </c>
      <c r="BD441" s="34">
        <f>H441/(100-BE441)*100</f>
        <v>0</v>
      </c>
      <c r="BE441" s="34">
        <v>0</v>
      </c>
      <c r="BF441" s="34">
        <f>441</f>
        <v>441</v>
      </c>
      <c r="BH441" s="18">
        <f>G441*AO441</f>
        <v>0</v>
      </c>
      <c r="BI441" s="18">
        <f>G441*AP441</f>
        <v>0</v>
      </c>
      <c r="BJ441" s="18">
        <f>G441*H441</f>
        <v>0</v>
      </c>
    </row>
    <row r="442" spans="3:7" ht="12.75">
      <c r="C442" s="101" t="s">
        <v>846</v>
      </c>
      <c r="D442" s="102"/>
      <c r="E442" s="102"/>
      <c r="G442" s="64">
        <v>37.291</v>
      </c>
    </row>
    <row r="443" spans="1:62" ht="12.75">
      <c r="A443" s="5" t="s">
        <v>175</v>
      </c>
      <c r="B443" s="5" t="s">
        <v>343</v>
      </c>
      <c r="C443" s="99" t="s">
        <v>573</v>
      </c>
      <c r="D443" s="100"/>
      <c r="E443" s="100"/>
      <c r="F443" s="5" t="s">
        <v>984</v>
      </c>
      <c r="G443" s="63">
        <v>339.681</v>
      </c>
      <c r="H443" s="18">
        <v>0</v>
      </c>
      <c r="I443" s="18">
        <f>G443*AO443</f>
        <v>0</v>
      </c>
      <c r="J443" s="18">
        <f>G443*AP443</f>
        <v>0</v>
      </c>
      <c r="K443" s="18">
        <f>G443*H443</f>
        <v>0</v>
      </c>
      <c r="L443" s="29"/>
      <c r="Z443" s="34">
        <f>IF(AQ443="5",BJ443,0)</f>
        <v>0</v>
      </c>
      <c r="AB443" s="34">
        <f>IF(AQ443="1",BH443,0)</f>
        <v>0</v>
      </c>
      <c r="AC443" s="34">
        <f>IF(AQ443="1",BI443,0)</f>
        <v>0</v>
      </c>
      <c r="AD443" s="34">
        <f>IF(AQ443="7",BH443,0)</f>
        <v>0</v>
      </c>
      <c r="AE443" s="34">
        <f>IF(AQ443="7",BI443,0)</f>
        <v>0</v>
      </c>
      <c r="AF443" s="34">
        <f>IF(AQ443="2",BH443,0)</f>
        <v>0</v>
      </c>
      <c r="AG443" s="34">
        <f>IF(AQ443="2",BI443,0)</f>
        <v>0</v>
      </c>
      <c r="AH443" s="34">
        <f>IF(AQ443="0",BJ443,0)</f>
        <v>0</v>
      </c>
      <c r="AI443" s="28" t="s">
        <v>1021</v>
      </c>
      <c r="AJ443" s="18">
        <f>IF(AN443=0,K443,0)</f>
        <v>0</v>
      </c>
      <c r="AK443" s="18">
        <f>IF(AN443=15,K443,0)</f>
        <v>0</v>
      </c>
      <c r="AL443" s="18">
        <f>IF(AN443=21,K443,0)</f>
        <v>0</v>
      </c>
      <c r="AN443" s="34">
        <v>21</v>
      </c>
      <c r="AO443" s="34">
        <f>H443*0.437252219203653</f>
        <v>0</v>
      </c>
      <c r="AP443" s="34">
        <f>H443*(1-0.437252219203653)</f>
        <v>0</v>
      </c>
      <c r="AQ443" s="29" t="s">
        <v>6</v>
      </c>
      <c r="AV443" s="34">
        <f>AW443+AX443</f>
        <v>0</v>
      </c>
      <c r="AW443" s="34">
        <f>G443*AO443</f>
        <v>0</v>
      </c>
      <c r="AX443" s="34">
        <f>G443*AP443</f>
        <v>0</v>
      </c>
      <c r="AY443" s="35" t="s">
        <v>1032</v>
      </c>
      <c r="AZ443" s="35" t="s">
        <v>1076</v>
      </c>
      <c r="BA443" s="28" t="s">
        <v>1086</v>
      </c>
      <c r="BC443" s="34">
        <f>AW443+AX443</f>
        <v>0</v>
      </c>
      <c r="BD443" s="34">
        <f>H443/(100-BE443)*100</f>
        <v>0</v>
      </c>
      <c r="BE443" s="34">
        <v>0</v>
      </c>
      <c r="BF443" s="34">
        <f>443</f>
        <v>443</v>
      </c>
      <c r="BH443" s="18">
        <f>G443*AO443</f>
        <v>0</v>
      </c>
      <c r="BI443" s="18">
        <f>G443*AP443</f>
        <v>0</v>
      </c>
      <c r="BJ443" s="18">
        <f>G443*H443</f>
        <v>0</v>
      </c>
    </row>
    <row r="444" spans="3:7" ht="12.75">
      <c r="C444" s="101" t="s">
        <v>847</v>
      </c>
      <c r="D444" s="102"/>
      <c r="E444" s="102"/>
      <c r="G444" s="64">
        <v>339.681</v>
      </c>
    </row>
    <row r="445" spans="1:47" ht="12.75">
      <c r="A445" s="4"/>
      <c r="B445" s="14" t="s">
        <v>66</v>
      </c>
      <c r="C445" s="97" t="s">
        <v>578</v>
      </c>
      <c r="D445" s="98"/>
      <c r="E445" s="98"/>
      <c r="F445" s="4" t="s">
        <v>5</v>
      </c>
      <c r="G445" s="4" t="s">
        <v>5</v>
      </c>
      <c r="H445" s="4" t="s">
        <v>5</v>
      </c>
      <c r="I445" s="37">
        <f>SUM(I446:I446)</f>
        <v>0</v>
      </c>
      <c r="J445" s="37">
        <f>SUM(J446:J446)</f>
        <v>0</v>
      </c>
      <c r="K445" s="37">
        <f>SUM(K446:K446)</f>
        <v>0</v>
      </c>
      <c r="L445" s="28"/>
      <c r="AI445" s="28" t="s">
        <v>1021</v>
      </c>
      <c r="AS445" s="37">
        <f>SUM(AJ446:AJ446)</f>
        <v>0</v>
      </c>
      <c r="AT445" s="37">
        <f>SUM(AK446:AK446)</f>
        <v>0</v>
      </c>
      <c r="AU445" s="37">
        <f>SUM(AL446:AL446)</f>
        <v>0</v>
      </c>
    </row>
    <row r="446" spans="1:62" ht="12.75">
      <c r="A446" s="5" t="s">
        <v>176</v>
      </c>
      <c r="B446" s="5" t="s">
        <v>346</v>
      </c>
      <c r="C446" s="99" t="s">
        <v>579</v>
      </c>
      <c r="D446" s="100"/>
      <c r="E446" s="100"/>
      <c r="F446" s="5" t="s">
        <v>984</v>
      </c>
      <c r="G446" s="63">
        <v>0.216</v>
      </c>
      <c r="H446" s="18">
        <v>0</v>
      </c>
      <c r="I446" s="18">
        <f>G446*AO446</f>
        <v>0</v>
      </c>
      <c r="J446" s="18">
        <f>G446*AP446</f>
        <v>0</v>
      </c>
      <c r="K446" s="18">
        <f>G446*H446</f>
        <v>0</v>
      </c>
      <c r="L446" s="29"/>
      <c r="Z446" s="34">
        <f>IF(AQ446="5",BJ446,0)</f>
        <v>0</v>
      </c>
      <c r="AB446" s="34">
        <f>IF(AQ446="1",BH446,0)</f>
        <v>0</v>
      </c>
      <c r="AC446" s="34">
        <f>IF(AQ446="1",BI446,0)</f>
        <v>0</v>
      </c>
      <c r="AD446" s="34">
        <f>IF(AQ446="7",BH446,0)</f>
        <v>0</v>
      </c>
      <c r="AE446" s="34">
        <f>IF(AQ446="7",BI446,0)</f>
        <v>0</v>
      </c>
      <c r="AF446" s="34">
        <f>IF(AQ446="2",BH446,0)</f>
        <v>0</v>
      </c>
      <c r="AG446" s="34">
        <f>IF(AQ446="2",BI446,0)</f>
        <v>0</v>
      </c>
      <c r="AH446" s="34">
        <f>IF(AQ446="0",BJ446,0)</f>
        <v>0</v>
      </c>
      <c r="AI446" s="28" t="s">
        <v>1021</v>
      </c>
      <c r="AJ446" s="18">
        <f>IF(AN446=0,K446,0)</f>
        <v>0</v>
      </c>
      <c r="AK446" s="18">
        <f>IF(AN446=15,K446,0)</f>
        <v>0</v>
      </c>
      <c r="AL446" s="18">
        <f>IF(AN446=21,K446,0)</f>
        <v>0</v>
      </c>
      <c r="AN446" s="34">
        <v>21</v>
      </c>
      <c r="AO446" s="34">
        <f>H446*0.41275</f>
        <v>0</v>
      </c>
      <c r="AP446" s="34">
        <f>H446*(1-0.41275)</f>
        <v>0</v>
      </c>
      <c r="AQ446" s="29" t="s">
        <v>6</v>
      </c>
      <c r="AV446" s="34">
        <f>AW446+AX446</f>
        <v>0</v>
      </c>
      <c r="AW446" s="34">
        <f>G446*AO446</f>
        <v>0</v>
      </c>
      <c r="AX446" s="34">
        <f>G446*AP446</f>
        <v>0</v>
      </c>
      <c r="AY446" s="35" t="s">
        <v>1033</v>
      </c>
      <c r="AZ446" s="35" t="s">
        <v>1076</v>
      </c>
      <c r="BA446" s="28" t="s">
        <v>1086</v>
      </c>
      <c r="BC446" s="34">
        <f>AW446+AX446</f>
        <v>0</v>
      </c>
      <c r="BD446" s="34">
        <f>H446/(100-BE446)*100</f>
        <v>0</v>
      </c>
      <c r="BE446" s="34">
        <v>0</v>
      </c>
      <c r="BF446" s="34">
        <f>446</f>
        <v>446</v>
      </c>
      <c r="BH446" s="18">
        <f>G446*AO446</f>
        <v>0</v>
      </c>
      <c r="BI446" s="18">
        <f>G446*AP446</f>
        <v>0</v>
      </c>
      <c r="BJ446" s="18">
        <f>G446*H446</f>
        <v>0</v>
      </c>
    </row>
    <row r="447" spans="3:7" ht="12.75">
      <c r="C447" s="101" t="s">
        <v>848</v>
      </c>
      <c r="D447" s="102"/>
      <c r="E447" s="102"/>
      <c r="G447" s="64">
        <v>0.216</v>
      </c>
    </row>
    <row r="448" spans="1:47" ht="12.75">
      <c r="A448" s="4"/>
      <c r="B448" s="14" t="s">
        <v>67</v>
      </c>
      <c r="C448" s="97" t="s">
        <v>581</v>
      </c>
      <c r="D448" s="98"/>
      <c r="E448" s="98"/>
      <c r="F448" s="4" t="s">
        <v>5</v>
      </c>
      <c r="G448" s="4" t="s">
        <v>5</v>
      </c>
      <c r="H448" s="4" t="s">
        <v>5</v>
      </c>
      <c r="I448" s="37">
        <f>SUM(I449:I501)</f>
        <v>0</v>
      </c>
      <c r="J448" s="37">
        <f>SUM(J449:J501)</f>
        <v>0</v>
      </c>
      <c r="K448" s="37">
        <f>SUM(K449:K501)</f>
        <v>0</v>
      </c>
      <c r="L448" s="28"/>
      <c r="AI448" s="28" t="s">
        <v>1021</v>
      </c>
      <c r="AS448" s="37">
        <f>SUM(AJ449:AJ501)</f>
        <v>0</v>
      </c>
      <c r="AT448" s="37">
        <f>SUM(AK449:AK501)</f>
        <v>0</v>
      </c>
      <c r="AU448" s="37">
        <f>SUM(AL449:AL501)</f>
        <v>0</v>
      </c>
    </row>
    <row r="449" spans="1:62" ht="12.75">
      <c r="A449" s="5" t="s">
        <v>177</v>
      </c>
      <c r="B449" s="5" t="s">
        <v>347</v>
      </c>
      <c r="C449" s="99" t="s">
        <v>582</v>
      </c>
      <c r="D449" s="100"/>
      <c r="E449" s="100"/>
      <c r="F449" s="5" t="s">
        <v>984</v>
      </c>
      <c r="G449" s="63">
        <v>225.446</v>
      </c>
      <c r="H449" s="18">
        <v>0</v>
      </c>
      <c r="I449" s="18">
        <f>G449*AO449</f>
        <v>0</v>
      </c>
      <c r="J449" s="18">
        <f>G449*AP449</f>
        <v>0</v>
      </c>
      <c r="K449" s="18">
        <f>G449*H449</f>
        <v>0</v>
      </c>
      <c r="L449" s="29"/>
      <c r="Z449" s="34">
        <f>IF(AQ449="5",BJ449,0)</f>
        <v>0</v>
      </c>
      <c r="AB449" s="34">
        <f>IF(AQ449="1",BH449,0)</f>
        <v>0</v>
      </c>
      <c r="AC449" s="34">
        <f>IF(AQ449="1",BI449,0)</f>
        <v>0</v>
      </c>
      <c r="AD449" s="34">
        <f>IF(AQ449="7",BH449,0)</f>
        <v>0</v>
      </c>
      <c r="AE449" s="34">
        <f>IF(AQ449="7",BI449,0)</f>
        <v>0</v>
      </c>
      <c r="AF449" s="34">
        <f>IF(AQ449="2",BH449,0)</f>
        <v>0</v>
      </c>
      <c r="AG449" s="34">
        <f>IF(AQ449="2",BI449,0)</f>
        <v>0</v>
      </c>
      <c r="AH449" s="34">
        <f>IF(AQ449="0",BJ449,0)</f>
        <v>0</v>
      </c>
      <c r="AI449" s="28" t="s">
        <v>1021</v>
      </c>
      <c r="AJ449" s="18">
        <f>IF(AN449=0,K449,0)</f>
        <v>0</v>
      </c>
      <c r="AK449" s="18">
        <f>IF(AN449=15,K449,0)</f>
        <v>0</v>
      </c>
      <c r="AL449" s="18">
        <f>IF(AN449=21,K449,0)</f>
        <v>0</v>
      </c>
      <c r="AN449" s="34">
        <v>21</v>
      </c>
      <c r="AO449" s="34">
        <f>H449*0.49458605942806</f>
        <v>0</v>
      </c>
      <c r="AP449" s="34">
        <f>H449*(1-0.49458605942806)</f>
        <v>0</v>
      </c>
      <c r="AQ449" s="29" t="s">
        <v>6</v>
      </c>
      <c r="AV449" s="34">
        <f>AW449+AX449</f>
        <v>0</v>
      </c>
      <c r="AW449" s="34">
        <f>G449*AO449</f>
        <v>0</v>
      </c>
      <c r="AX449" s="34">
        <f>G449*AP449</f>
        <v>0</v>
      </c>
      <c r="AY449" s="35" t="s">
        <v>1034</v>
      </c>
      <c r="AZ449" s="35" t="s">
        <v>1076</v>
      </c>
      <c r="BA449" s="28" t="s">
        <v>1086</v>
      </c>
      <c r="BC449" s="34">
        <f>AW449+AX449</f>
        <v>0</v>
      </c>
      <c r="BD449" s="34">
        <f>H449/(100-BE449)*100</f>
        <v>0</v>
      </c>
      <c r="BE449" s="34">
        <v>0</v>
      </c>
      <c r="BF449" s="34">
        <f>449</f>
        <v>449</v>
      </c>
      <c r="BH449" s="18">
        <f>G449*AO449</f>
        <v>0</v>
      </c>
      <c r="BI449" s="18">
        <f>G449*AP449</f>
        <v>0</v>
      </c>
      <c r="BJ449" s="18">
        <f>G449*H449</f>
        <v>0</v>
      </c>
    </row>
    <row r="450" spans="3:7" ht="12.75">
      <c r="C450" s="101" t="s">
        <v>583</v>
      </c>
      <c r="D450" s="102"/>
      <c r="E450" s="102"/>
      <c r="G450" s="64">
        <v>162.855</v>
      </c>
    </row>
    <row r="451" spans="3:7" ht="12.75">
      <c r="C451" s="101" t="s">
        <v>584</v>
      </c>
      <c r="D451" s="102"/>
      <c r="E451" s="102"/>
      <c r="G451" s="64">
        <v>30.42</v>
      </c>
    </row>
    <row r="452" spans="3:7" ht="12.75">
      <c r="C452" s="101" t="s">
        <v>849</v>
      </c>
      <c r="D452" s="102"/>
      <c r="E452" s="102"/>
      <c r="G452" s="64">
        <v>76.704</v>
      </c>
    </row>
    <row r="453" spans="3:7" ht="12.75">
      <c r="C453" s="101" t="s">
        <v>850</v>
      </c>
      <c r="D453" s="102"/>
      <c r="E453" s="102"/>
      <c r="G453" s="64">
        <v>3.2</v>
      </c>
    </row>
    <row r="454" spans="3:7" ht="12.75">
      <c r="C454" s="101" t="s">
        <v>587</v>
      </c>
      <c r="D454" s="102"/>
      <c r="E454" s="102"/>
      <c r="G454" s="64">
        <v>-48.713</v>
      </c>
    </row>
    <row r="455" spans="3:7" ht="12.75">
      <c r="C455" s="101" t="s">
        <v>588</v>
      </c>
      <c r="D455" s="102"/>
      <c r="E455" s="102"/>
      <c r="G455" s="64">
        <v>0.98</v>
      </c>
    </row>
    <row r="456" spans="1:62" ht="12.75">
      <c r="A456" s="5" t="s">
        <v>178</v>
      </c>
      <c r="B456" s="5" t="s">
        <v>348</v>
      </c>
      <c r="C456" s="99" t="s">
        <v>589</v>
      </c>
      <c r="D456" s="100"/>
      <c r="E456" s="100"/>
      <c r="F456" s="5" t="s">
        <v>984</v>
      </c>
      <c r="G456" s="63">
        <v>56.03</v>
      </c>
      <c r="H456" s="18">
        <v>0</v>
      </c>
      <c r="I456" s="18">
        <f>G456*AO456</f>
        <v>0</v>
      </c>
      <c r="J456" s="18">
        <f>G456*AP456</f>
        <v>0</v>
      </c>
      <c r="K456" s="18">
        <f>G456*H456</f>
        <v>0</v>
      </c>
      <c r="L456" s="29"/>
      <c r="Z456" s="34">
        <f>IF(AQ456="5",BJ456,0)</f>
        <v>0</v>
      </c>
      <c r="AB456" s="34">
        <f>IF(AQ456="1",BH456,0)</f>
        <v>0</v>
      </c>
      <c r="AC456" s="34">
        <f>IF(AQ456="1",BI456,0)</f>
        <v>0</v>
      </c>
      <c r="AD456" s="34">
        <f>IF(AQ456="7",BH456,0)</f>
        <v>0</v>
      </c>
      <c r="AE456" s="34">
        <f>IF(AQ456="7",BI456,0)</f>
        <v>0</v>
      </c>
      <c r="AF456" s="34">
        <f>IF(AQ456="2",BH456,0)</f>
        <v>0</v>
      </c>
      <c r="AG456" s="34">
        <f>IF(AQ456="2",BI456,0)</f>
        <v>0</v>
      </c>
      <c r="AH456" s="34">
        <f>IF(AQ456="0",BJ456,0)</f>
        <v>0</v>
      </c>
      <c r="AI456" s="28" t="s">
        <v>1021</v>
      </c>
      <c r="AJ456" s="18">
        <f>IF(AN456=0,K456,0)</f>
        <v>0</v>
      </c>
      <c r="AK456" s="18">
        <f>IF(AN456=15,K456,0)</f>
        <v>0</v>
      </c>
      <c r="AL456" s="18">
        <f>IF(AN456=21,K456,0)</f>
        <v>0</v>
      </c>
      <c r="AN456" s="34">
        <v>21</v>
      </c>
      <c r="AO456" s="34">
        <f>H456*0.321657848324515</f>
        <v>0</v>
      </c>
      <c r="AP456" s="34">
        <f>H456*(1-0.321657848324515)</f>
        <v>0</v>
      </c>
      <c r="AQ456" s="29" t="s">
        <v>6</v>
      </c>
      <c r="AV456" s="34">
        <f>AW456+AX456</f>
        <v>0</v>
      </c>
      <c r="AW456" s="34">
        <f>G456*AO456</f>
        <v>0</v>
      </c>
      <c r="AX456" s="34">
        <f>G456*AP456</f>
        <v>0</v>
      </c>
      <c r="AY456" s="35" t="s">
        <v>1034</v>
      </c>
      <c r="AZ456" s="35" t="s">
        <v>1076</v>
      </c>
      <c r="BA456" s="28" t="s">
        <v>1086</v>
      </c>
      <c r="BC456" s="34">
        <f>AW456+AX456</f>
        <v>0</v>
      </c>
      <c r="BD456" s="34">
        <f>H456/(100-BE456)*100</f>
        <v>0</v>
      </c>
      <c r="BE456" s="34">
        <v>0</v>
      </c>
      <c r="BF456" s="34">
        <f>456</f>
        <v>456</v>
      </c>
      <c r="BH456" s="18">
        <f>G456*AO456</f>
        <v>0</v>
      </c>
      <c r="BI456" s="18">
        <f>G456*AP456</f>
        <v>0</v>
      </c>
      <c r="BJ456" s="18">
        <f>G456*H456</f>
        <v>0</v>
      </c>
    </row>
    <row r="457" spans="3:7" ht="12.75">
      <c r="C457" s="101" t="s">
        <v>590</v>
      </c>
      <c r="D457" s="102"/>
      <c r="E457" s="102"/>
      <c r="G457" s="64">
        <v>8.19</v>
      </c>
    </row>
    <row r="458" spans="3:7" ht="12.75">
      <c r="C458" s="101" t="s">
        <v>851</v>
      </c>
      <c r="D458" s="102"/>
      <c r="E458" s="102"/>
      <c r="G458" s="64">
        <v>47.84</v>
      </c>
    </row>
    <row r="459" spans="1:62" ht="12.75">
      <c r="A459" s="5" t="s">
        <v>179</v>
      </c>
      <c r="B459" s="5" t="s">
        <v>349</v>
      </c>
      <c r="C459" s="99" t="s">
        <v>592</v>
      </c>
      <c r="D459" s="100"/>
      <c r="E459" s="100"/>
      <c r="F459" s="5" t="s">
        <v>984</v>
      </c>
      <c r="G459" s="63">
        <v>27.918</v>
      </c>
      <c r="H459" s="18">
        <v>0</v>
      </c>
      <c r="I459" s="18">
        <f>G459*AO459</f>
        <v>0</v>
      </c>
      <c r="J459" s="18">
        <f>G459*AP459</f>
        <v>0</v>
      </c>
      <c r="K459" s="18">
        <f>G459*H459</f>
        <v>0</v>
      </c>
      <c r="L459" s="29"/>
      <c r="Z459" s="34">
        <f>IF(AQ459="5",BJ459,0)</f>
        <v>0</v>
      </c>
      <c r="AB459" s="34">
        <f>IF(AQ459="1",BH459,0)</f>
        <v>0</v>
      </c>
      <c r="AC459" s="34">
        <f>IF(AQ459="1",BI459,0)</f>
        <v>0</v>
      </c>
      <c r="AD459" s="34">
        <f>IF(AQ459="7",BH459,0)</f>
        <v>0</v>
      </c>
      <c r="AE459" s="34">
        <f>IF(AQ459="7",BI459,0)</f>
        <v>0</v>
      </c>
      <c r="AF459" s="34">
        <f>IF(AQ459="2",BH459,0)</f>
        <v>0</v>
      </c>
      <c r="AG459" s="34">
        <f>IF(AQ459="2",BI459,0)</f>
        <v>0</v>
      </c>
      <c r="AH459" s="34">
        <f>IF(AQ459="0",BJ459,0)</f>
        <v>0</v>
      </c>
      <c r="AI459" s="28" t="s">
        <v>1021</v>
      </c>
      <c r="AJ459" s="18">
        <f>IF(AN459=0,K459,0)</f>
        <v>0</v>
      </c>
      <c r="AK459" s="18">
        <f>IF(AN459=15,K459,0)</f>
        <v>0</v>
      </c>
      <c r="AL459" s="18">
        <f>IF(AN459=21,K459,0)</f>
        <v>0</v>
      </c>
      <c r="AN459" s="34">
        <v>21</v>
      </c>
      <c r="AO459" s="34">
        <f>H459*0.772834120171207</f>
        <v>0</v>
      </c>
      <c r="AP459" s="34">
        <f>H459*(1-0.772834120171207)</f>
        <v>0</v>
      </c>
      <c r="AQ459" s="29" t="s">
        <v>6</v>
      </c>
      <c r="AV459" s="34">
        <f>AW459+AX459</f>
        <v>0</v>
      </c>
      <c r="AW459" s="34">
        <f>G459*AO459</f>
        <v>0</v>
      </c>
      <c r="AX459" s="34">
        <f>G459*AP459</f>
        <v>0</v>
      </c>
      <c r="AY459" s="35" t="s">
        <v>1034</v>
      </c>
      <c r="AZ459" s="35" t="s">
        <v>1076</v>
      </c>
      <c r="BA459" s="28" t="s">
        <v>1086</v>
      </c>
      <c r="BC459" s="34">
        <f>AW459+AX459</f>
        <v>0</v>
      </c>
      <c r="BD459" s="34">
        <f>H459/(100-BE459)*100</f>
        <v>0</v>
      </c>
      <c r="BE459" s="34">
        <v>0</v>
      </c>
      <c r="BF459" s="34">
        <f>459</f>
        <v>459</v>
      </c>
      <c r="BH459" s="18">
        <f>G459*AO459</f>
        <v>0</v>
      </c>
      <c r="BI459" s="18">
        <f>G459*AP459</f>
        <v>0</v>
      </c>
      <c r="BJ459" s="18">
        <f>G459*H459</f>
        <v>0</v>
      </c>
    </row>
    <row r="460" spans="3:7" ht="12.75">
      <c r="C460" s="101" t="s">
        <v>852</v>
      </c>
      <c r="D460" s="102"/>
      <c r="E460" s="102"/>
      <c r="G460" s="64">
        <v>27.918</v>
      </c>
    </row>
    <row r="461" spans="1:62" ht="12.75">
      <c r="A461" s="5" t="s">
        <v>180</v>
      </c>
      <c r="B461" s="5" t="s">
        <v>350</v>
      </c>
      <c r="C461" s="99" t="s">
        <v>594</v>
      </c>
      <c r="D461" s="100"/>
      <c r="E461" s="100"/>
      <c r="F461" s="5" t="s">
        <v>984</v>
      </c>
      <c r="G461" s="63">
        <v>31.731</v>
      </c>
      <c r="H461" s="18">
        <v>0</v>
      </c>
      <c r="I461" s="18">
        <f>G461*AO461</f>
        <v>0</v>
      </c>
      <c r="J461" s="18">
        <f>G461*AP461</f>
        <v>0</v>
      </c>
      <c r="K461" s="18">
        <f>G461*H461</f>
        <v>0</v>
      </c>
      <c r="L461" s="29"/>
      <c r="Z461" s="34">
        <f>IF(AQ461="5",BJ461,0)</f>
        <v>0</v>
      </c>
      <c r="AB461" s="34">
        <f>IF(AQ461="1",BH461,0)</f>
        <v>0</v>
      </c>
      <c r="AC461" s="34">
        <f>IF(AQ461="1",BI461,0)</f>
        <v>0</v>
      </c>
      <c r="AD461" s="34">
        <f>IF(AQ461="7",BH461,0)</f>
        <v>0</v>
      </c>
      <c r="AE461" s="34">
        <f>IF(AQ461="7",BI461,0)</f>
        <v>0</v>
      </c>
      <c r="AF461" s="34">
        <f>IF(AQ461="2",BH461,0)</f>
        <v>0</v>
      </c>
      <c r="AG461" s="34">
        <f>IF(AQ461="2",BI461,0)</f>
        <v>0</v>
      </c>
      <c r="AH461" s="34">
        <f>IF(AQ461="0",BJ461,0)</f>
        <v>0</v>
      </c>
      <c r="AI461" s="28" t="s">
        <v>1021</v>
      </c>
      <c r="AJ461" s="18">
        <f>IF(AN461=0,K461,0)</f>
        <v>0</v>
      </c>
      <c r="AK461" s="18">
        <f>IF(AN461=15,K461,0)</f>
        <v>0</v>
      </c>
      <c r="AL461" s="18">
        <f>IF(AN461=21,K461,0)</f>
        <v>0</v>
      </c>
      <c r="AN461" s="34">
        <v>21</v>
      </c>
      <c r="AO461" s="34">
        <f>H461*0.665838419621065</f>
        <v>0</v>
      </c>
      <c r="AP461" s="34">
        <f>H461*(1-0.665838419621065)</f>
        <v>0</v>
      </c>
      <c r="AQ461" s="29" t="s">
        <v>6</v>
      </c>
      <c r="AV461" s="34">
        <f>AW461+AX461</f>
        <v>0</v>
      </c>
      <c r="AW461" s="34">
        <f>G461*AO461</f>
        <v>0</v>
      </c>
      <c r="AX461" s="34">
        <f>G461*AP461</f>
        <v>0</v>
      </c>
      <c r="AY461" s="35" t="s">
        <v>1034</v>
      </c>
      <c r="AZ461" s="35" t="s">
        <v>1076</v>
      </c>
      <c r="BA461" s="28" t="s">
        <v>1086</v>
      </c>
      <c r="BC461" s="34">
        <f>AW461+AX461</f>
        <v>0</v>
      </c>
      <c r="BD461" s="34">
        <f>H461/(100-BE461)*100</f>
        <v>0</v>
      </c>
      <c r="BE461" s="34">
        <v>0</v>
      </c>
      <c r="BF461" s="34">
        <f>461</f>
        <v>461</v>
      </c>
      <c r="BH461" s="18">
        <f>G461*AO461</f>
        <v>0</v>
      </c>
      <c r="BI461" s="18">
        <f>G461*AP461</f>
        <v>0</v>
      </c>
      <c r="BJ461" s="18">
        <f>G461*H461</f>
        <v>0</v>
      </c>
    </row>
    <row r="462" spans="3:7" ht="12.75">
      <c r="C462" s="101" t="s">
        <v>853</v>
      </c>
      <c r="D462" s="102"/>
      <c r="E462" s="102"/>
      <c r="G462" s="64">
        <v>31.731</v>
      </c>
    </row>
    <row r="463" spans="1:62" ht="12.75">
      <c r="A463" s="5" t="s">
        <v>181</v>
      </c>
      <c r="B463" s="5" t="s">
        <v>481</v>
      </c>
      <c r="C463" s="99" t="s">
        <v>854</v>
      </c>
      <c r="D463" s="100"/>
      <c r="E463" s="100"/>
      <c r="F463" s="5" t="s">
        <v>984</v>
      </c>
      <c r="G463" s="63">
        <v>10.2</v>
      </c>
      <c r="H463" s="18">
        <v>0</v>
      </c>
      <c r="I463" s="18">
        <f>G463*AO463</f>
        <v>0</v>
      </c>
      <c r="J463" s="18">
        <f>G463*AP463</f>
        <v>0</v>
      </c>
      <c r="K463" s="18">
        <f>G463*H463</f>
        <v>0</v>
      </c>
      <c r="L463" s="29"/>
      <c r="Z463" s="34">
        <f>IF(AQ463="5",BJ463,0)</f>
        <v>0</v>
      </c>
      <c r="AB463" s="34">
        <f>IF(AQ463="1",BH463,0)</f>
        <v>0</v>
      </c>
      <c r="AC463" s="34">
        <f>IF(AQ463="1",BI463,0)</f>
        <v>0</v>
      </c>
      <c r="AD463" s="34">
        <f>IF(AQ463="7",BH463,0)</f>
        <v>0</v>
      </c>
      <c r="AE463" s="34">
        <f>IF(AQ463="7",BI463,0)</f>
        <v>0</v>
      </c>
      <c r="AF463" s="34">
        <f>IF(AQ463="2",BH463,0)</f>
        <v>0</v>
      </c>
      <c r="AG463" s="34">
        <f>IF(AQ463="2",BI463,0)</f>
        <v>0</v>
      </c>
      <c r="AH463" s="34">
        <f>IF(AQ463="0",BJ463,0)</f>
        <v>0</v>
      </c>
      <c r="AI463" s="28" t="s">
        <v>1021</v>
      </c>
      <c r="AJ463" s="18">
        <f>IF(AN463=0,K463,0)</f>
        <v>0</v>
      </c>
      <c r="AK463" s="18">
        <f>IF(AN463=15,K463,0)</f>
        <v>0</v>
      </c>
      <c r="AL463" s="18">
        <f>IF(AN463=21,K463,0)</f>
        <v>0</v>
      </c>
      <c r="AN463" s="34">
        <v>21</v>
      </c>
      <c r="AO463" s="34">
        <f>H463*0.675821782178218</f>
        <v>0</v>
      </c>
      <c r="AP463" s="34">
        <f>H463*(1-0.675821782178218)</f>
        <v>0</v>
      </c>
      <c r="AQ463" s="29" t="s">
        <v>6</v>
      </c>
      <c r="AV463" s="34">
        <f>AW463+AX463</f>
        <v>0</v>
      </c>
      <c r="AW463" s="34">
        <f>G463*AO463</f>
        <v>0</v>
      </c>
      <c r="AX463" s="34">
        <f>G463*AP463</f>
        <v>0</v>
      </c>
      <c r="AY463" s="35" t="s">
        <v>1034</v>
      </c>
      <c r="AZ463" s="35" t="s">
        <v>1076</v>
      </c>
      <c r="BA463" s="28" t="s">
        <v>1086</v>
      </c>
      <c r="BC463" s="34">
        <f>AW463+AX463</f>
        <v>0</v>
      </c>
      <c r="BD463" s="34">
        <f>H463/(100-BE463)*100</f>
        <v>0</v>
      </c>
      <c r="BE463" s="34">
        <v>0</v>
      </c>
      <c r="BF463" s="34">
        <f>463</f>
        <v>463</v>
      </c>
      <c r="BH463" s="18">
        <f>G463*AO463</f>
        <v>0</v>
      </c>
      <c r="BI463" s="18">
        <f>G463*AP463</f>
        <v>0</v>
      </c>
      <c r="BJ463" s="18">
        <f>G463*H463</f>
        <v>0</v>
      </c>
    </row>
    <row r="464" spans="3:7" ht="12.75">
      <c r="C464" s="101" t="s">
        <v>855</v>
      </c>
      <c r="D464" s="102"/>
      <c r="E464" s="102"/>
      <c r="G464" s="64">
        <v>10.2</v>
      </c>
    </row>
    <row r="465" spans="1:62" ht="12.75">
      <c r="A465" s="5" t="s">
        <v>182</v>
      </c>
      <c r="B465" s="5" t="s">
        <v>482</v>
      </c>
      <c r="C465" s="99" t="s">
        <v>856</v>
      </c>
      <c r="D465" s="100"/>
      <c r="E465" s="100"/>
      <c r="F465" s="5" t="s">
        <v>984</v>
      </c>
      <c r="G465" s="63">
        <v>5.56</v>
      </c>
      <c r="H465" s="18">
        <v>0</v>
      </c>
      <c r="I465" s="18">
        <f>G465*AO465</f>
        <v>0</v>
      </c>
      <c r="J465" s="18">
        <f>G465*AP465</f>
        <v>0</v>
      </c>
      <c r="K465" s="18">
        <f>G465*H465</f>
        <v>0</v>
      </c>
      <c r="L465" s="29"/>
      <c r="Z465" s="34">
        <f>IF(AQ465="5",BJ465,0)</f>
        <v>0</v>
      </c>
      <c r="AB465" s="34">
        <f>IF(AQ465="1",BH465,0)</f>
        <v>0</v>
      </c>
      <c r="AC465" s="34">
        <f>IF(AQ465="1",BI465,0)</f>
        <v>0</v>
      </c>
      <c r="AD465" s="34">
        <f>IF(AQ465="7",BH465,0)</f>
        <v>0</v>
      </c>
      <c r="AE465" s="34">
        <f>IF(AQ465="7",BI465,0)</f>
        <v>0</v>
      </c>
      <c r="AF465" s="34">
        <f>IF(AQ465="2",BH465,0)</f>
        <v>0</v>
      </c>
      <c r="AG465" s="34">
        <f>IF(AQ465="2",BI465,0)</f>
        <v>0</v>
      </c>
      <c r="AH465" s="34">
        <f>IF(AQ465="0",BJ465,0)</f>
        <v>0</v>
      </c>
      <c r="AI465" s="28" t="s">
        <v>1021</v>
      </c>
      <c r="AJ465" s="18">
        <f>IF(AN465=0,K465,0)</f>
        <v>0</v>
      </c>
      <c r="AK465" s="18">
        <f>IF(AN465=15,K465,0)</f>
        <v>0</v>
      </c>
      <c r="AL465" s="18">
        <f>IF(AN465=21,K465,0)</f>
        <v>0</v>
      </c>
      <c r="AN465" s="34">
        <v>21</v>
      </c>
      <c r="AO465" s="34">
        <f>H465*0.493254281949934</f>
        <v>0</v>
      </c>
      <c r="AP465" s="34">
        <f>H465*(1-0.493254281949934)</f>
        <v>0</v>
      </c>
      <c r="AQ465" s="29" t="s">
        <v>6</v>
      </c>
      <c r="AV465" s="34">
        <f>AW465+AX465</f>
        <v>0</v>
      </c>
      <c r="AW465" s="34">
        <f>G465*AO465</f>
        <v>0</v>
      </c>
      <c r="AX465" s="34">
        <f>G465*AP465</f>
        <v>0</v>
      </c>
      <c r="AY465" s="35" t="s">
        <v>1034</v>
      </c>
      <c r="AZ465" s="35" t="s">
        <v>1076</v>
      </c>
      <c r="BA465" s="28" t="s">
        <v>1086</v>
      </c>
      <c r="BC465" s="34">
        <f>AW465+AX465</f>
        <v>0</v>
      </c>
      <c r="BD465" s="34">
        <f>H465/(100-BE465)*100</f>
        <v>0</v>
      </c>
      <c r="BE465" s="34">
        <v>0</v>
      </c>
      <c r="BF465" s="34">
        <f>465</f>
        <v>465</v>
      </c>
      <c r="BH465" s="18">
        <f>G465*AO465</f>
        <v>0</v>
      </c>
      <c r="BI465" s="18">
        <f>G465*AP465</f>
        <v>0</v>
      </c>
      <c r="BJ465" s="18">
        <f>G465*H465</f>
        <v>0</v>
      </c>
    </row>
    <row r="466" spans="3:7" ht="12.75">
      <c r="C466" s="101" t="s">
        <v>857</v>
      </c>
      <c r="D466" s="102"/>
      <c r="E466" s="102"/>
      <c r="G466" s="64">
        <v>5.56</v>
      </c>
    </row>
    <row r="467" spans="1:62" ht="12.75">
      <c r="A467" s="5" t="s">
        <v>183</v>
      </c>
      <c r="B467" s="5" t="s">
        <v>351</v>
      </c>
      <c r="C467" s="99" t="s">
        <v>596</v>
      </c>
      <c r="D467" s="100"/>
      <c r="E467" s="100"/>
      <c r="F467" s="5" t="s">
        <v>984</v>
      </c>
      <c r="G467" s="63">
        <v>20.914</v>
      </c>
      <c r="H467" s="18">
        <v>0</v>
      </c>
      <c r="I467" s="18">
        <f>G467*AO467</f>
        <v>0</v>
      </c>
      <c r="J467" s="18">
        <f>G467*AP467</f>
        <v>0</v>
      </c>
      <c r="K467" s="18">
        <f>G467*H467</f>
        <v>0</v>
      </c>
      <c r="L467" s="29"/>
      <c r="Z467" s="34">
        <f>IF(AQ467="5",BJ467,0)</f>
        <v>0</v>
      </c>
      <c r="AB467" s="34">
        <f>IF(AQ467="1",BH467,0)</f>
        <v>0</v>
      </c>
      <c r="AC467" s="34">
        <f>IF(AQ467="1",BI467,0)</f>
        <v>0</v>
      </c>
      <c r="AD467" s="34">
        <f>IF(AQ467="7",BH467,0)</f>
        <v>0</v>
      </c>
      <c r="AE467" s="34">
        <f>IF(AQ467="7",BI467,0)</f>
        <v>0</v>
      </c>
      <c r="AF467" s="34">
        <f>IF(AQ467="2",BH467,0)</f>
        <v>0</v>
      </c>
      <c r="AG467" s="34">
        <f>IF(AQ467="2",BI467,0)</f>
        <v>0</v>
      </c>
      <c r="AH467" s="34">
        <f>IF(AQ467="0",BJ467,0)</f>
        <v>0</v>
      </c>
      <c r="AI467" s="28" t="s">
        <v>1021</v>
      </c>
      <c r="AJ467" s="18">
        <f>IF(AN467=0,K467,0)</f>
        <v>0</v>
      </c>
      <c r="AK467" s="18">
        <f>IF(AN467=15,K467,0)</f>
        <v>0</v>
      </c>
      <c r="AL467" s="18">
        <f>IF(AN467=21,K467,0)</f>
        <v>0</v>
      </c>
      <c r="AN467" s="34">
        <v>21</v>
      </c>
      <c r="AO467" s="34">
        <f>H467*0.256922806929049</f>
        <v>0</v>
      </c>
      <c r="AP467" s="34">
        <f>H467*(1-0.256922806929049)</f>
        <v>0</v>
      </c>
      <c r="AQ467" s="29" t="s">
        <v>6</v>
      </c>
      <c r="AV467" s="34">
        <f>AW467+AX467</f>
        <v>0</v>
      </c>
      <c r="AW467" s="34">
        <f>G467*AO467</f>
        <v>0</v>
      </c>
      <c r="AX467" s="34">
        <f>G467*AP467</f>
        <v>0</v>
      </c>
      <c r="AY467" s="35" t="s">
        <v>1034</v>
      </c>
      <c r="AZ467" s="35" t="s">
        <v>1076</v>
      </c>
      <c r="BA467" s="28" t="s">
        <v>1086</v>
      </c>
      <c r="BC467" s="34">
        <f>AW467+AX467</f>
        <v>0</v>
      </c>
      <c r="BD467" s="34">
        <f>H467/(100-BE467)*100</f>
        <v>0</v>
      </c>
      <c r="BE467" s="34">
        <v>0</v>
      </c>
      <c r="BF467" s="34">
        <f>467</f>
        <v>467</v>
      </c>
      <c r="BH467" s="18">
        <f>G467*AO467</f>
        <v>0</v>
      </c>
      <c r="BI467" s="18">
        <f>G467*AP467</f>
        <v>0</v>
      </c>
      <c r="BJ467" s="18">
        <f>G467*H467</f>
        <v>0</v>
      </c>
    </row>
    <row r="468" spans="3:7" ht="12.75">
      <c r="C468" s="101" t="s">
        <v>597</v>
      </c>
      <c r="D468" s="102"/>
      <c r="E468" s="102"/>
      <c r="G468" s="64">
        <v>19.134</v>
      </c>
    </row>
    <row r="469" spans="3:7" ht="12.75">
      <c r="C469" s="101" t="s">
        <v>858</v>
      </c>
      <c r="D469" s="102"/>
      <c r="E469" s="102"/>
      <c r="G469" s="64">
        <v>1.78</v>
      </c>
    </row>
    <row r="470" spans="1:62" ht="12.75">
      <c r="A470" s="5" t="s">
        <v>184</v>
      </c>
      <c r="B470" s="5" t="s">
        <v>351</v>
      </c>
      <c r="C470" s="99" t="s">
        <v>599</v>
      </c>
      <c r="D470" s="100"/>
      <c r="E470" s="100"/>
      <c r="F470" s="5" t="s">
        <v>984</v>
      </c>
      <c r="G470" s="63">
        <v>9.6</v>
      </c>
      <c r="H470" s="18">
        <v>0</v>
      </c>
      <c r="I470" s="18">
        <f>G470*AO470</f>
        <v>0</v>
      </c>
      <c r="J470" s="18">
        <f>G470*AP470</f>
        <v>0</v>
      </c>
      <c r="K470" s="18">
        <f>G470*H470</f>
        <v>0</v>
      </c>
      <c r="L470" s="29"/>
      <c r="Z470" s="34">
        <f>IF(AQ470="5",BJ470,0)</f>
        <v>0</v>
      </c>
      <c r="AB470" s="34">
        <f>IF(AQ470="1",BH470,0)</f>
        <v>0</v>
      </c>
      <c r="AC470" s="34">
        <f>IF(AQ470="1",BI470,0)</f>
        <v>0</v>
      </c>
      <c r="AD470" s="34">
        <f>IF(AQ470="7",BH470,0)</f>
        <v>0</v>
      </c>
      <c r="AE470" s="34">
        <f>IF(AQ470="7",BI470,0)</f>
        <v>0</v>
      </c>
      <c r="AF470" s="34">
        <f>IF(AQ470="2",BH470,0)</f>
        <v>0</v>
      </c>
      <c r="AG470" s="34">
        <f>IF(AQ470="2",BI470,0)</f>
        <v>0</v>
      </c>
      <c r="AH470" s="34">
        <f>IF(AQ470="0",BJ470,0)</f>
        <v>0</v>
      </c>
      <c r="AI470" s="28" t="s">
        <v>1021</v>
      </c>
      <c r="AJ470" s="18">
        <f>IF(AN470=0,K470,0)</f>
        <v>0</v>
      </c>
      <c r="AK470" s="18">
        <f>IF(AN470=15,K470,0)</f>
        <v>0</v>
      </c>
      <c r="AL470" s="18">
        <f>IF(AN470=21,K470,0)</f>
        <v>0</v>
      </c>
      <c r="AN470" s="34">
        <v>21</v>
      </c>
      <c r="AO470" s="34">
        <f>H470*0.256923076923077</f>
        <v>0</v>
      </c>
      <c r="AP470" s="34">
        <f>H470*(1-0.256923076923077)</f>
        <v>0</v>
      </c>
      <c r="AQ470" s="29" t="s">
        <v>6</v>
      </c>
      <c r="AV470" s="34">
        <f>AW470+AX470</f>
        <v>0</v>
      </c>
      <c r="AW470" s="34">
        <f>G470*AO470</f>
        <v>0</v>
      </c>
      <c r="AX470" s="34">
        <f>G470*AP470</f>
        <v>0</v>
      </c>
      <c r="AY470" s="35" t="s">
        <v>1034</v>
      </c>
      <c r="AZ470" s="35" t="s">
        <v>1076</v>
      </c>
      <c r="BA470" s="28" t="s">
        <v>1086</v>
      </c>
      <c r="BC470" s="34">
        <f>AW470+AX470</f>
        <v>0</v>
      </c>
      <c r="BD470" s="34">
        <f>H470/(100-BE470)*100</f>
        <v>0</v>
      </c>
      <c r="BE470" s="34">
        <v>0</v>
      </c>
      <c r="BF470" s="34">
        <f>470</f>
        <v>470</v>
      </c>
      <c r="BH470" s="18">
        <f>G470*AO470</f>
        <v>0</v>
      </c>
      <c r="BI470" s="18">
        <f>G470*AP470</f>
        <v>0</v>
      </c>
      <c r="BJ470" s="18">
        <f>G470*H470</f>
        <v>0</v>
      </c>
    </row>
    <row r="471" spans="3:7" ht="12.75">
      <c r="C471" s="101" t="s">
        <v>859</v>
      </c>
      <c r="D471" s="102"/>
      <c r="E471" s="102"/>
      <c r="G471" s="64">
        <v>9.6</v>
      </c>
    </row>
    <row r="472" spans="1:62" ht="12.75">
      <c r="A472" s="5" t="s">
        <v>185</v>
      </c>
      <c r="B472" s="5" t="s">
        <v>352</v>
      </c>
      <c r="C472" s="99" t="s">
        <v>601</v>
      </c>
      <c r="D472" s="100"/>
      <c r="E472" s="100"/>
      <c r="F472" s="5" t="s">
        <v>984</v>
      </c>
      <c r="G472" s="63">
        <v>54.663</v>
      </c>
      <c r="H472" s="18">
        <v>0</v>
      </c>
      <c r="I472" s="18">
        <f>G472*AO472</f>
        <v>0</v>
      </c>
      <c r="J472" s="18">
        <f>G472*AP472</f>
        <v>0</v>
      </c>
      <c r="K472" s="18">
        <f>G472*H472</f>
        <v>0</v>
      </c>
      <c r="L472" s="29"/>
      <c r="Z472" s="34">
        <f>IF(AQ472="5",BJ472,0)</f>
        <v>0</v>
      </c>
      <c r="AB472" s="34">
        <f>IF(AQ472="1",BH472,0)</f>
        <v>0</v>
      </c>
      <c r="AC472" s="34">
        <f>IF(AQ472="1",BI472,0)</f>
        <v>0</v>
      </c>
      <c r="AD472" s="34">
        <f>IF(AQ472="7",BH472,0)</f>
        <v>0</v>
      </c>
      <c r="AE472" s="34">
        <f>IF(AQ472="7",BI472,0)</f>
        <v>0</v>
      </c>
      <c r="AF472" s="34">
        <f>IF(AQ472="2",BH472,0)</f>
        <v>0</v>
      </c>
      <c r="AG472" s="34">
        <f>IF(AQ472="2",BI472,0)</f>
        <v>0</v>
      </c>
      <c r="AH472" s="34">
        <f>IF(AQ472="0",BJ472,0)</f>
        <v>0</v>
      </c>
      <c r="AI472" s="28" t="s">
        <v>1021</v>
      </c>
      <c r="AJ472" s="18">
        <f>IF(AN472=0,K472,0)</f>
        <v>0</v>
      </c>
      <c r="AK472" s="18">
        <f>IF(AN472=15,K472,0)</f>
        <v>0</v>
      </c>
      <c r="AL472" s="18">
        <f>IF(AN472=21,K472,0)</f>
        <v>0</v>
      </c>
      <c r="AN472" s="34">
        <v>21</v>
      </c>
      <c r="AO472" s="34">
        <f>H472*0.303620487562601</f>
        <v>0</v>
      </c>
      <c r="AP472" s="34">
        <f>H472*(1-0.303620487562601)</f>
        <v>0</v>
      </c>
      <c r="AQ472" s="29" t="s">
        <v>6</v>
      </c>
      <c r="AV472" s="34">
        <f>AW472+AX472</f>
        <v>0</v>
      </c>
      <c r="AW472" s="34">
        <f>G472*AO472</f>
        <v>0</v>
      </c>
      <c r="AX472" s="34">
        <f>G472*AP472</f>
        <v>0</v>
      </c>
      <c r="AY472" s="35" t="s">
        <v>1034</v>
      </c>
      <c r="AZ472" s="35" t="s">
        <v>1076</v>
      </c>
      <c r="BA472" s="28" t="s">
        <v>1086</v>
      </c>
      <c r="BC472" s="34">
        <f>AW472+AX472</f>
        <v>0</v>
      </c>
      <c r="BD472" s="34">
        <f>H472/(100-BE472)*100</f>
        <v>0</v>
      </c>
      <c r="BE472" s="34">
        <v>0</v>
      </c>
      <c r="BF472" s="34">
        <f>472</f>
        <v>472</v>
      </c>
      <c r="BH472" s="18">
        <f>G472*AO472</f>
        <v>0</v>
      </c>
      <c r="BI472" s="18">
        <f>G472*AP472</f>
        <v>0</v>
      </c>
      <c r="BJ472" s="18">
        <f>G472*H472</f>
        <v>0</v>
      </c>
    </row>
    <row r="473" spans="3:7" ht="12.75">
      <c r="C473" s="101" t="s">
        <v>860</v>
      </c>
      <c r="D473" s="102"/>
      <c r="E473" s="102"/>
      <c r="G473" s="64">
        <v>54.663</v>
      </c>
    </row>
    <row r="474" spans="1:62" ht="12.75">
      <c r="A474" s="5" t="s">
        <v>186</v>
      </c>
      <c r="B474" s="5" t="s">
        <v>353</v>
      </c>
      <c r="C474" s="99" t="s">
        <v>603</v>
      </c>
      <c r="D474" s="100"/>
      <c r="E474" s="100"/>
      <c r="F474" s="5" t="s">
        <v>986</v>
      </c>
      <c r="G474" s="63">
        <v>248.38</v>
      </c>
      <c r="H474" s="18">
        <v>0</v>
      </c>
      <c r="I474" s="18">
        <f>G474*AO474</f>
        <v>0</v>
      </c>
      <c r="J474" s="18">
        <f>G474*AP474</f>
        <v>0</v>
      </c>
      <c r="K474" s="18">
        <f>G474*H474</f>
        <v>0</v>
      </c>
      <c r="L474" s="29"/>
      <c r="Z474" s="34">
        <f>IF(AQ474="5",BJ474,0)</f>
        <v>0</v>
      </c>
      <c r="AB474" s="34">
        <f>IF(AQ474="1",BH474,0)</f>
        <v>0</v>
      </c>
      <c r="AC474" s="34">
        <f>IF(AQ474="1",BI474,0)</f>
        <v>0</v>
      </c>
      <c r="AD474" s="34">
        <f>IF(AQ474="7",BH474,0)</f>
        <v>0</v>
      </c>
      <c r="AE474" s="34">
        <f>IF(AQ474="7",BI474,0)</f>
        <v>0</v>
      </c>
      <c r="AF474" s="34">
        <f>IF(AQ474="2",BH474,0)</f>
        <v>0</v>
      </c>
      <c r="AG474" s="34">
        <f>IF(AQ474="2",BI474,0)</f>
        <v>0</v>
      </c>
      <c r="AH474" s="34">
        <f>IF(AQ474="0",BJ474,0)</f>
        <v>0</v>
      </c>
      <c r="AI474" s="28" t="s">
        <v>1021</v>
      </c>
      <c r="AJ474" s="18">
        <f>IF(AN474=0,K474,0)</f>
        <v>0</v>
      </c>
      <c r="AK474" s="18">
        <f>IF(AN474=15,K474,0)</f>
        <v>0</v>
      </c>
      <c r="AL474" s="18">
        <f>IF(AN474=21,K474,0)</f>
        <v>0</v>
      </c>
      <c r="AN474" s="34">
        <v>21</v>
      </c>
      <c r="AO474" s="34">
        <f>H474*0.275713263867287</f>
        <v>0</v>
      </c>
      <c r="AP474" s="34">
        <f>H474*(1-0.275713263867287)</f>
        <v>0</v>
      </c>
      <c r="AQ474" s="29" t="s">
        <v>6</v>
      </c>
      <c r="AV474" s="34">
        <f>AW474+AX474</f>
        <v>0</v>
      </c>
      <c r="AW474" s="34">
        <f>G474*AO474</f>
        <v>0</v>
      </c>
      <c r="AX474" s="34">
        <f>G474*AP474</f>
        <v>0</v>
      </c>
      <c r="AY474" s="35" t="s">
        <v>1034</v>
      </c>
      <c r="AZ474" s="35" t="s">
        <v>1076</v>
      </c>
      <c r="BA474" s="28" t="s">
        <v>1086</v>
      </c>
      <c r="BC474" s="34">
        <f>AW474+AX474</f>
        <v>0</v>
      </c>
      <c r="BD474" s="34">
        <f>H474/(100-BE474)*100</f>
        <v>0</v>
      </c>
      <c r="BE474" s="34">
        <v>0</v>
      </c>
      <c r="BF474" s="34">
        <f>474</f>
        <v>474</v>
      </c>
      <c r="BH474" s="18">
        <f>G474*AO474</f>
        <v>0</v>
      </c>
      <c r="BI474" s="18">
        <f>G474*AP474</f>
        <v>0</v>
      </c>
      <c r="BJ474" s="18">
        <f>G474*H474</f>
        <v>0</v>
      </c>
    </row>
    <row r="475" spans="3:7" ht="12.75">
      <c r="C475" s="101" t="s">
        <v>861</v>
      </c>
      <c r="D475" s="102"/>
      <c r="E475" s="102"/>
      <c r="G475" s="64">
        <v>29.05</v>
      </c>
    </row>
    <row r="476" spans="3:7" ht="12.75">
      <c r="C476" s="101" t="s">
        <v>862</v>
      </c>
      <c r="D476" s="102"/>
      <c r="E476" s="102"/>
      <c r="G476" s="64">
        <v>219.33</v>
      </c>
    </row>
    <row r="477" spans="1:62" ht="12.75">
      <c r="A477" s="5" t="s">
        <v>187</v>
      </c>
      <c r="B477" s="5" t="s">
        <v>354</v>
      </c>
      <c r="C477" s="99" t="s">
        <v>606</v>
      </c>
      <c r="D477" s="100"/>
      <c r="E477" s="100"/>
      <c r="F477" s="5" t="s">
        <v>986</v>
      </c>
      <c r="G477" s="63">
        <v>72.3</v>
      </c>
      <c r="H477" s="18">
        <v>0</v>
      </c>
      <c r="I477" s="18">
        <f>G477*AO477</f>
        <v>0</v>
      </c>
      <c r="J477" s="18">
        <f>G477*AP477</f>
        <v>0</v>
      </c>
      <c r="K477" s="18">
        <f>G477*H477</f>
        <v>0</v>
      </c>
      <c r="L477" s="29"/>
      <c r="Z477" s="34">
        <f>IF(AQ477="5",BJ477,0)</f>
        <v>0</v>
      </c>
      <c r="AB477" s="34">
        <f>IF(AQ477="1",BH477,0)</f>
        <v>0</v>
      </c>
      <c r="AC477" s="34">
        <f>IF(AQ477="1",BI477,0)</f>
        <v>0</v>
      </c>
      <c r="AD477" s="34">
        <f>IF(AQ477="7",BH477,0)</f>
        <v>0</v>
      </c>
      <c r="AE477" s="34">
        <f>IF(AQ477="7",BI477,0)</f>
        <v>0</v>
      </c>
      <c r="AF477" s="34">
        <f>IF(AQ477="2",BH477,0)</f>
        <v>0</v>
      </c>
      <c r="AG477" s="34">
        <f>IF(AQ477="2",BI477,0)</f>
        <v>0</v>
      </c>
      <c r="AH477" s="34">
        <f>IF(AQ477="0",BJ477,0)</f>
        <v>0</v>
      </c>
      <c r="AI477" s="28" t="s">
        <v>1021</v>
      </c>
      <c r="AJ477" s="18">
        <f>IF(AN477=0,K477,0)</f>
        <v>0</v>
      </c>
      <c r="AK477" s="18">
        <f>IF(AN477=15,K477,0)</f>
        <v>0</v>
      </c>
      <c r="AL477" s="18">
        <f>IF(AN477=21,K477,0)</f>
        <v>0</v>
      </c>
      <c r="AN477" s="34">
        <v>21</v>
      </c>
      <c r="AO477" s="34">
        <f>H477*0.2463441024466</f>
        <v>0</v>
      </c>
      <c r="AP477" s="34">
        <f>H477*(1-0.2463441024466)</f>
        <v>0</v>
      </c>
      <c r="AQ477" s="29" t="s">
        <v>6</v>
      </c>
      <c r="AV477" s="34">
        <f>AW477+AX477</f>
        <v>0</v>
      </c>
      <c r="AW477" s="34">
        <f>G477*AO477</f>
        <v>0</v>
      </c>
      <c r="AX477" s="34">
        <f>G477*AP477</f>
        <v>0</v>
      </c>
      <c r="AY477" s="35" t="s">
        <v>1034</v>
      </c>
      <c r="AZ477" s="35" t="s">
        <v>1076</v>
      </c>
      <c r="BA477" s="28" t="s">
        <v>1086</v>
      </c>
      <c r="BC477" s="34">
        <f>AW477+AX477</f>
        <v>0</v>
      </c>
      <c r="BD477" s="34">
        <f>H477/(100-BE477)*100</f>
        <v>0</v>
      </c>
      <c r="BE477" s="34">
        <v>0</v>
      </c>
      <c r="BF477" s="34">
        <f>477</f>
        <v>477</v>
      </c>
      <c r="BH477" s="18">
        <f>G477*AO477</f>
        <v>0</v>
      </c>
      <c r="BI477" s="18">
        <f>G477*AP477</f>
        <v>0</v>
      </c>
      <c r="BJ477" s="18">
        <f>G477*H477</f>
        <v>0</v>
      </c>
    </row>
    <row r="478" spans="3:7" ht="12.75">
      <c r="C478" s="101" t="s">
        <v>863</v>
      </c>
      <c r="D478" s="102"/>
      <c r="E478" s="102"/>
      <c r="G478" s="64">
        <v>72.3</v>
      </c>
    </row>
    <row r="479" spans="1:62" ht="12.75">
      <c r="A479" s="5" t="s">
        <v>188</v>
      </c>
      <c r="B479" s="5" t="s">
        <v>355</v>
      </c>
      <c r="C479" s="99" t="s">
        <v>608</v>
      </c>
      <c r="D479" s="100"/>
      <c r="E479" s="100"/>
      <c r="F479" s="5" t="s">
        <v>986</v>
      </c>
      <c r="G479" s="63">
        <v>27.15</v>
      </c>
      <c r="H479" s="18">
        <v>0</v>
      </c>
      <c r="I479" s="18">
        <f>G479*AO479</f>
        <v>0</v>
      </c>
      <c r="J479" s="18">
        <f>G479*AP479</f>
        <v>0</v>
      </c>
      <c r="K479" s="18">
        <f>G479*H479</f>
        <v>0</v>
      </c>
      <c r="L479" s="29"/>
      <c r="Z479" s="34">
        <f>IF(AQ479="5",BJ479,0)</f>
        <v>0</v>
      </c>
      <c r="AB479" s="34">
        <f>IF(AQ479="1",BH479,0)</f>
        <v>0</v>
      </c>
      <c r="AC479" s="34">
        <f>IF(AQ479="1",BI479,0)</f>
        <v>0</v>
      </c>
      <c r="AD479" s="34">
        <f>IF(AQ479="7",BH479,0)</f>
        <v>0</v>
      </c>
      <c r="AE479" s="34">
        <f>IF(AQ479="7",BI479,0)</f>
        <v>0</v>
      </c>
      <c r="AF479" s="34">
        <f>IF(AQ479="2",BH479,0)</f>
        <v>0</v>
      </c>
      <c r="AG479" s="34">
        <f>IF(AQ479="2",BI479,0)</f>
        <v>0</v>
      </c>
      <c r="AH479" s="34">
        <f>IF(AQ479="0",BJ479,0)</f>
        <v>0</v>
      </c>
      <c r="AI479" s="28" t="s">
        <v>1021</v>
      </c>
      <c r="AJ479" s="18">
        <f>IF(AN479=0,K479,0)</f>
        <v>0</v>
      </c>
      <c r="AK479" s="18">
        <f>IF(AN479=15,K479,0)</f>
        <v>0</v>
      </c>
      <c r="AL479" s="18">
        <f>IF(AN479=21,K479,0)</f>
        <v>0</v>
      </c>
      <c r="AN479" s="34">
        <v>21</v>
      </c>
      <c r="AO479" s="34">
        <f>H479*0.274904280607523</f>
        <v>0</v>
      </c>
      <c r="AP479" s="34">
        <f>H479*(1-0.274904280607523)</f>
        <v>0</v>
      </c>
      <c r="AQ479" s="29" t="s">
        <v>6</v>
      </c>
      <c r="AV479" s="34">
        <f>AW479+AX479</f>
        <v>0</v>
      </c>
      <c r="AW479" s="34">
        <f>G479*AO479</f>
        <v>0</v>
      </c>
      <c r="AX479" s="34">
        <f>G479*AP479</f>
        <v>0</v>
      </c>
      <c r="AY479" s="35" t="s">
        <v>1034</v>
      </c>
      <c r="AZ479" s="35" t="s">
        <v>1076</v>
      </c>
      <c r="BA479" s="28" t="s">
        <v>1086</v>
      </c>
      <c r="BC479" s="34">
        <f>AW479+AX479</f>
        <v>0</v>
      </c>
      <c r="BD479" s="34">
        <f>H479/(100-BE479)*100</f>
        <v>0</v>
      </c>
      <c r="BE479" s="34">
        <v>0</v>
      </c>
      <c r="BF479" s="34">
        <f>479</f>
        <v>479</v>
      </c>
      <c r="BH479" s="18">
        <f>G479*AO479</f>
        <v>0</v>
      </c>
      <c r="BI479" s="18">
        <f>G479*AP479</f>
        <v>0</v>
      </c>
      <c r="BJ479" s="18">
        <f>G479*H479</f>
        <v>0</v>
      </c>
    </row>
    <row r="480" spans="3:7" ht="12.75">
      <c r="C480" s="101" t="s">
        <v>864</v>
      </c>
      <c r="D480" s="102"/>
      <c r="E480" s="102"/>
      <c r="G480" s="64">
        <v>27.15</v>
      </c>
    </row>
    <row r="481" spans="1:62" ht="12.75">
      <c r="A481" s="5" t="s">
        <v>189</v>
      </c>
      <c r="B481" s="5" t="s">
        <v>356</v>
      </c>
      <c r="C481" s="99" t="s">
        <v>610</v>
      </c>
      <c r="D481" s="100"/>
      <c r="E481" s="100"/>
      <c r="F481" s="5" t="s">
        <v>984</v>
      </c>
      <c r="G481" s="63">
        <v>383.911</v>
      </c>
      <c r="H481" s="18">
        <v>0</v>
      </c>
      <c r="I481" s="18">
        <f>G481*AO481</f>
        <v>0</v>
      </c>
      <c r="J481" s="18">
        <f>G481*AP481</f>
        <v>0</v>
      </c>
      <c r="K481" s="18">
        <f>G481*H481</f>
        <v>0</v>
      </c>
      <c r="L481" s="29"/>
      <c r="Z481" s="34">
        <f>IF(AQ481="5",BJ481,0)</f>
        <v>0</v>
      </c>
      <c r="AB481" s="34">
        <f>IF(AQ481="1",BH481,0)</f>
        <v>0</v>
      </c>
      <c r="AC481" s="34">
        <f>IF(AQ481="1",BI481,0)</f>
        <v>0</v>
      </c>
      <c r="AD481" s="34">
        <f>IF(AQ481="7",BH481,0)</f>
        <v>0</v>
      </c>
      <c r="AE481" s="34">
        <f>IF(AQ481="7",BI481,0)</f>
        <v>0</v>
      </c>
      <c r="AF481" s="34">
        <f>IF(AQ481="2",BH481,0)</f>
        <v>0</v>
      </c>
      <c r="AG481" s="34">
        <f>IF(AQ481="2",BI481,0)</f>
        <v>0</v>
      </c>
      <c r="AH481" s="34">
        <f>IF(AQ481="0",BJ481,0)</f>
        <v>0</v>
      </c>
      <c r="AI481" s="28" t="s">
        <v>1021</v>
      </c>
      <c r="AJ481" s="18">
        <f>IF(AN481=0,K481,0)</f>
        <v>0</v>
      </c>
      <c r="AK481" s="18">
        <f>IF(AN481=15,K481,0)</f>
        <v>0</v>
      </c>
      <c r="AL481" s="18">
        <f>IF(AN481=21,K481,0)</f>
        <v>0</v>
      </c>
      <c r="AN481" s="34">
        <v>21</v>
      </c>
      <c r="AO481" s="34">
        <f>H481*0.0683693513200659</f>
        <v>0</v>
      </c>
      <c r="AP481" s="34">
        <f>H481*(1-0.0683693513200659)</f>
        <v>0</v>
      </c>
      <c r="AQ481" s="29" t="s">
        <v>6</v>
      </c>
      <c r="AV481" s="34">
        <f>AW481+AX481</f>
        <v>0</v>
      </c>
      <c r="AW481" s="34">
        <f>G481*AO481</f>
        <v>0</v>
      </c>
      <c r="AX481" s="34">
        <f>G481*AP481</f>
        <v>0</v>
      </c>
      <c r="AY481" s="35" t="s">
        <v>1034</v>
      </c>
      <c r="AZ481" s="35" t="s">
        <v>1076</v>
      </c>
      <c r="BA481" s="28" t="s">
        <v>1086</v>
      </c>
      <c r="BC481" s="34">
        <f>AW481+AX481</f>
        <v>0</v>
      </c>
      <c r="BD481" s="34">
        <f>H481/(100-BE481)*100</f>
        <v>0</v>
      </c>
      <c r="BE481" s="34">
        <v>0</v>
      </c>
      <c r="BF481" s="34">
        <f>481</f>
        <v>481</v>
      </c>
      <c r="BH481" s="18">
        <f>G481*AO481</f>
        <v>0</v>
      </c>
      <c r="BI481" s="18">
        <f>G481*AP481</f>
        <v>0</v>
      </c>
      <c r="BJ481" s="18">
        <f>G481*H481</f>
        <v>0</v>
      </c>
    </row>
    <row r="482" spans="3:7" ht="12.75">
      <c r="C482" s="101" t="s">
        <v>847</v>
      </c>
      <c r="D482" s="102"/>
      <c r="E482" s="102"/>
      <c r="G482" s="64">
        <v>339.681</v>
      </c>
    </row>
    <row r="483" spans="3:7" ht="12.75">
      <c r="C483" s="101" t="s">
        <v>865</v>
      </c>
      <c r="D483" s="102"/>
      <c r="E483" s="102"/>
      <c r="G483" s="64">
        <v>10.53</v>
      </c>
    </row>
    <row r="484" spans="3:7" ht="12.75">
      <c r="C484" s="101" t="s">
        <v>866</v>
      </c>
      <c r="D484" s="102"/>
      <c r="E484" s="102"/>
      <c r="G484" s="64">
        <v>2.83</v>
      </c>
    </row>
    <row r="485" spans="3:7" ht="12.75">
      <c r="C485" s="101" t="s">
        <v>867</v>
      </c>
      <c r="D485" s="102"/>
      <c r="E485" s="102"/>
      <c r="G485" s="64">
        <v>18.99</v>
      </c>
    </row>
    <row r="486" spans="3:7" ht="12.75">
      <c r="C486" s="101" t="s">
        <v>868</v>
      </c>
      <c r="D486" s="102"/>
      <c r="E486" s="102"/>
      <c r="G486" s="64">
        <v>11.88</v>
      </c>
    </row>
    <row r="487" spans="1:62" ht="12.75">
      <c r="A487" s="5" t="s">
        <v>190</v>
      </c>
      <c r="B487" s="5" t="s">
        <v>357</v>
      </c>
      <c r="C487" s="99" t="s">
        <v>612</v>
      </c>
      <c r="D487" s="100"/>
      <c r="E487" s="100"/>
      <c r="F487" s="5" t="s">
        <v>986</v>
      </c>
      <c r="G487" s="63">
        <v>4.8</v>
      </c>
      <c r="H487" s="18">
        <v>0</v>
      </c>
      <c r="I487" s="18">
        <f>G487*AO487</f>
        <v>0</v>
      </c>
      <c r="J487" s="18">
        <f>G487*AP487</f>
        <v>0</v>
      </c>
      <c r="K487" s="18">
        <f>G487*H487</f>
        <v>0</v>
      </c>
      <c r="L487" s="29"/>
      <c r="Z487" s="34">
        <f>IF(AQ487="5",BJ487,0)</f>
        <v>0</v>
      </c>
      <c r="AB487" s="34">
        <f>IF(AQ487="1",BH487,0)</f>
        <v>0</v>
      </c>
      <c r="AC487" s="34">
        <f>IF(AQ487="1",BI487,0)</f>
        <v>0</v>
      </c>
      <c r="AD487" s="34">
        <f>IF(AQ487="7",BH487,0)</f>
        <v>0</v>
      </c>
      <c r="AE487" s="34">
        <f>IF(AQ487="7",BI487,0)</f>
        <v>0</v>
      </c>
      <c r="AF487" s="34">
        <f>IF(AQ487="2",BH487,0)</f>
        <v>0</v>
      </c>
      <c r="AG487" s="34">
        <f>IF(AQ487="2",BI487,0)</f>
        <v>0</v>
      </c>
      <c r="AH487" s="34">
        <f>IF(AQ487="0",BJ487,0)</f>
        <v>0</v>
      </c>
      <c r="AI487" s="28" t="s">
        <v>1021</v>
      </c>
      <c r="AJ487" s="18">
        <f>IF(AN487=0,K487,0)</f>
        <v>0</v>
      </c>
      <c r="AK487" s="18">
        <f>IF(AN487=15,K487,0)</f>
        <v>0</v>
      </c>
      <c r="AL487" s="18">
        <f>IF(AN487=21,K487,0)</f>
        <v>0</v>
      </c>
      <c r="AN487" s="34">
        <v>21</v>
      </c>
      <c r="AO487" s="34">
        <f>H487*0.733624288425047</f>
        <v>0</v>
      </c>
      <c r="AP487" s="34">
        <f>H487*(1-0.733624288425047)</f>
        <v>0</v>
      </c>
      <c r="AQ487" s="29" t="s">
        <v>6</v>
      </c>
      <c r="AV487" s="34">
        <f>AW487+AX487</f>
        <v>0</v>
      </c>
      <c r="AW487" s="34">
        <f>G487*AO487</f>
        <v>0</v>
      </c>
      <c r="AX487" s="34">
        <f>G487*AP487</f>
        <v>0</v>
      </c>
      <c r="AY487" s="35" t="s">
        <v>1034</v>
      </c>
      <c r="AZ487" s="35" t="s">
        <v>1076</v>
      </c>
      <c r="BA487" s="28" t="s">
        <v>1086</v>
      </c>
      <c r="BC487" s="34">
        <f>AW487+AX487</f>
        <v>0</v>
      </c>
      <c r="BD487" s="34">
        <f>H487/(100-BE487)*100</f>
        <v>0</v>
      </c>
      <c r="BE487" s="34">
        <v>0</v>
      </c>
      <c r="BF487" s="34">
        <f>487</f>
        <v>487</v>
      </c>
      <c r="BH487" s="18">
        <f>G487*AO487</f>
        <v>0</v>
      </c>
      <c r="BI487" s="18">
        <f>G487*AP487</f>
        <v>0</v>
      </c>
      <c r="BJ487" s="18">
        <f>G487*H487</f>
        <v>0</v>
      </c>
    </row>
    <row r="488" spans="3:7" ht="12.75">
      <c r="C488" s="101" t="s">
        <v>869</v>
      </c>
      <c r="D488" s="102"/>
      <c r="E488" s="102"/>
      <c r="G488" s="64">
        <v>4.8</v>
      </c>
    </row>
    <row r="489" spans="1:62" ht="12.75">
      <c r="A489" s="5" t="s">
        <v>191</v>
      </c>
      <c r="B489" s="5" t="s">
        <v>483</v>
      </c>
      <c r="C489" s="99" t="s">
        <v>870</v>
      </c>
      <c r="D489" s="100"/>
      <c r="E489" s="100"/>
      <c r="F489" s="5" t="s">
        <v>986</v>
      </c>
      <c r="G489" s="63">
        <v>4.8</v>
      </c>
      <c r="H489" s="18">
        <v>0</v>
      </c>
      <c r="I489" s="18">
        <f>G489*AO489</f>
        <v>0</v>
      </c>
      <c r="J489" s="18">
        <f>G489*AP489</f>
        <v>0</v>
      </c>
      <c r="K489" s="18">
        <f>G489*H489</f>
        <v>0</v>
      </c>
      <c r="L489" s="29"/>
      <c r="Z489" s="34">
        <f>IF(AQ489="5",BJ489,0)</f>
        <v>0</v>
      </c>
      <c r="AB489" s="34">
        <f>IF(AQ489="1",BH489,0)</f>
        <v>0</v>
      </c>
      <c r="AC489" s="34">
        <f>IF(AQ489="1",BI489,0)</f>
        <v>0</v>
      </c>
      <c r="AD489" s="34">
        <f>IF(AQ489="7",BH489,0)</f>
        <v>0</v>
      </c>
      <c r="AE489" s="34">
        <f>IF(AQ489="7",BI489,0)</f>
        <v>0</v>
      </c>
      <c r="AF489" s="34">
        <f>IF(AQ489="2",BH489,0)</f>
        <v>0</v>
      </c>
      <c r="AG489" s="34">
        <f>IF(AQ489="2",BI489,0)</f>
        <v>0</v>
      </c>
      <c r="AH489" s="34">
        <f>IF(AQ489="0",BJ489,0)</f>
        <v>0</v>
      </c>
      <c r="AI489" s="28" t="s">
        <v>1021</v>
      </c>
      <c r="AJ489" s="18">
        <f>IF(AN489=0,K489,0)</f>
        <v>0</v>
      </c>
      <c r="AK489" s="18">
        <f>IF(AN489=15,K489,0)</f>
        <v>0</v>
      </c>
      <c r="AL489" s="18">
        <f>IF(AN489=21,K489,0)</f>
        <v>0</v>
      </c>
      <c r="AN489" s="34">
        <v>21</v>
      </c>
      <c r="AO489" s="34">
        <f>H489*0.733624288425047</f>
        <v>0</v>
      </c>
      <c r="AP489" s="34">
        <f>H489*(1-0.733624288425047)</f>
        <v>0</v>
      </c>
      <c r="AQ489" s="29" t="s">
        <v>6</v>
      </c>
      <c r="AV489" s="34">
        <f>AW489+AX489</f>
        <v>0</v>
      </c>
      <c r="AW489" s="34">
        <f>G489*AO489</f>
        <v>0</v>
      </c>
      <c r="AX489" s="34">
        <f>G489*AP489</f>
        <v>0</v>
      </c>
      <c r="AY489" s="35" t="s">
        <v>1034</v>
      </c>
      <c r="AZ489" s="35" t="s">
        <v>1076</v>
      </c>
      <c r="BA489" s="28" t="s">
        <v>1086</v>
      </c>
      <c r="BC489" s="34">
        <f>AW489+AX489</f>
        <v>0</v>
      </c>
      <c r="BD489" s="34">
        <f>H489/(100-BE489)*100</f>
        <v>0</v>
      </c>
      <c r="BE489" s="34">
        <v>0</v>
      </c>
      <c r="BF489" s="34">
        <f>489</f>
        <v>489</v>
      </c>
      <c r="BH489" s="18">
        <f>G489*AO489</f>
        <v>0</v>
      </c>
      <c r="BI489" s="18">
        <f>G489*AP489</f>
        <v>0</v>
      </c>
      <c r="BJ489" s="18">
        <f>G489*H489</f>
        <v>0</v>
      </c>
    </row>
    <row r="490" spans="3:7" ht="12.75">
      <c r="C490" s="101" t="s">
        <v>869</v>
      </c>
      <c r="D490" s="102"/>
      <c r="E490" s="102"/>
      <c r="G490" s="64">
        <v>4.8</v>
      </c>
    </row>
    <row r="491" spans="1:62" ht="12.75">
      <c r="A491" s="5" t="s">
        <v>192</v>
      </c>
      <c r="B491" s="5" t="s">
        <v>358</v>
      </c>
      <c r="C491" s="99" t="s">
        <v>614</v>
      </c>
      <c r="D491" s="100"/>
      <c r="E491" s="100"/>
      <c r="F491" s="5" t="s">
        <v>984</v>
      </c>
      <c r="G491" s="63">
        <v>339.681</v>
      </c>
      <c r="H491" s="18">
        <v>0</v>
      </c>
      <c r="I491" s="18">
        <f>G491*AO491</f>
        <v>0</v>
      </c>
      <c r="J491" s="18">
        <f>G491*AP491</f>
        <v>0</v>
      </c>
      <c r="K491" s="18">
        <f>G491*H491</f>
        <v>0</v>
      </c>
      <c r="L491" s="29"/>
      <c r="Z491" s="34">
        <f>IF(AQ491="5",BJ491,0)</f>
        <v>0</v>
      </c>
      <c r="AB491" s="34">
        <f>IF(AQ491="1",BH491,0)</f>
        <v>0</v>
      </c>
      <c r="AC491" s="34">
        <f>IF(AQ491="1",BI491,0)</f>
        <v>0</v>
      </c>
      <c r="AD491" s="34">
        <f>IF(AQ491="7",BH491,0)</f>
        <v>0</v>
      </c>
      <c r="AE491" s="34">
        <f>IF(AQ491="7",BI491,0)</f>
        <v>0</v>
      </c>
      <c r="AF491" s="34">
        <f>IF(AQ491="2",BH491,0)</f>
        <v>0</v>
      </c>
      <c r="AG491" s="34">
        <f>IF(AQ491="2",BI491,0)</f>
        <v>0</v>
      </c>
      <c r="AH491" s="34">
        <f>IF(AQ491="0",BJ491,0)</f>
        <v>0</v>
      </c>
      <c r="AI491" s="28" t="s">
        <v>1021</v>
      </c>
      <c r="AJ491" s="18">
        <f>IF(AN491=0,K491,0)</f>
        <v>0</v>
      </c>
      <c r="AK491" s="18">
        <f>IF(AN491=15,K491,0)</f>
        <v>0</v>
      </c>
      <c r="AL491" s="18">
        <f>IF(AN491=21,K491,0)</f>
        <v>0</v>
      </c>
      <c r="AN491" s="34">
        <v>21</v>
      </c>
      <c r="AO491" s="34">
        <f>H491*0.268518556161477</f>
        <v>0</v>
      </c>
      <c r="AP491" s="34">
        <f>H491*(1-0.268518556161477)</f>
        <v>0</v>
      </c>
      <c r="AQ491" s="29" t="s">
        <v>6</v>
      </c>
      <c r="AV491" s="34">
        <f>AW491+AX491</f>
        <v>0</v>
      </c>
      <c r="AW491" s="34">
        <f>G491*AO491</f>
        <v>0</v>
      </c>
      <c r="AX491" s="34">
        <f>G491*AP491</f>
        <v>0</v>
      </c>
      <c r="AY491" s="35" t="s">
        <v>1034</v>
      </c>
      <c r="AZ491" s="35" t="s">
        <v>1076</v>
      </c>
      <c r="BA491" s="28" t="s">
        <v>1086</v>
      </c>
      <c r="BC491" s="34">
        <f>AW491+AX491</f>
        <v>0</v>
      </c>
      <c r="BD491" s="34">
        <f>H491/(100-BE491)*100</f>
        <v>0</v>
      </c>
      <c r="BE491" s="34">
        <v>0</v>
      </c>
      <c r="BF491" s="34">
        <f>491</f>
        <v>491</v>
      </c>
      <c r="BH491" s="18">
        <f>G491*AO491</f>
        <v>0</v>
      </c>
      <c r="BI491" s="18">
        <f>G491*AP491</f>
        <v>0</v>
      </c>
      <c r="BJ491" s="18">
        <f>G491*H491</f>
        <v>0</v>
      </c>
    </row>
    <row r="492" spans="3:7" ht="12.75">
      <c r="C492" s="101" t="s">
        <v>847</v>
      </c>
      <c r="D492" s="102"/>
      <c r="E492" s="102"/>
      <c r="G492" s="64">
        <v>339.681</v>
      </c>
    </row>
    <row r="493" spans="1:62" ht="12.75">
      <c r="A493" s="5" t="s">
        <v>193</v>
      </c>
      <c r="B493" s="5" t="s">
        <v>359</v>
      </c>
      <c r="C493" s="99" t="s">
        <v>616</v>
      </c>
      <c r="D493" s="100"/>
      <c r="E493" s="100"/>
      <c r="F493" s="5" t="s">
        <v>984</v>
      </c>
      <c r="G493" s="63">
        <v>339.681</v>
      </c>
      <c r="H493" s="18">
        <v>0</v>
      </c>
      <c r="I493" s="18">
        <f>G493*AO493</f>
        <v>0</v>
      </c>
      <c r="J493" s="18">
        <f>G493*AP493</f>
        <v>0</v>
      </c>
      <c r="K493" s="18">
        <f>G493*H493</f>
        <v>0</v>
      </c>
      <c r="L493" s="29"/>
      <c r="Z493" s="34">
        <f>IF(AQ493="5",BJ493,0)</f>
        <v>0</v>
      </c>
      <c r="AB493" s="34">
        <f>IF(AQ493="1",BH493,0)</f>
        <v>0</v>
      </c>
      <c r="AC493" s="34">
        <f>IF(AQ493="1",BI493,0)</f>
        <v>0</v>
      </c>
      <c r="AD493" s="34">
        <f>IF(AQ493="7",BH493,0)</f>
        <v>0</v>
      </c>
      <c r="AE493" s="34">
        <f>IF(AQ493="7",BI493,0)</f>
        <v>0</v>
      </c>
      <c r="AF493" s="34">
        <f>IF(AQ493="2",BH493,0)</f>
        <v>0</v>
      </c>
      <c r="AG493" s="34">
        <f>IF(AQ493="2",BI493,0)</f>
        <v>0</v>
      </c>
      <c r="AH493" s="34">
        <f>IF(AQ493="0",BJ493,0)</f>
        <v>0</v>
      </c>
      <c r="AI493" s="28" t="s">
        <v>1021</v>
      </c>
      <c r="AJ493" s="18">
        <f>IF(AN493=0,K493,0)</f>
        <v>0</v>
      </c>
      <c r="AK493" s="18">
        <f>IF(AN493=15,K493,0)</f>
        <v>0</v>
      </c>
      <c r="AL493" s="18">
        <f>IF(AN493=21,K493,0)</f>
        <v>0</v>
      </c>
      <c r="AN493" s="34">
        <v>21</v>
      </c>
      <c r="AO493" s="34">
        <f>H493*0.133333321282124</f>
        <v>0</v>
      </c>
      <c r="AP493" s="34">
        <f>H493*(1-0.133333321282124)</f>
        <v>0</v>
      </c>
      <c r="AQ493" s="29" t="s">
        <v>6</v>
      </c>
      <c r="AV493" s="34">
        <f>AW493+AX493</f>
        <v>0</v>
      </c>
      <c r="AW493" s="34">
        <f>G493*AO493</f>
        <v>0</v>
      </c>
      <c r="AX493" s="34">
        <f>G493*AP493</f>
        <v>0</v>
      </c>
      <c r="AY493" s="35" t="s">
        <v>1034</v>
      </c>
      <c r="AZ493" s="35" t="s">
        <v>1076</v>
      </c>
      <c r="BA493" s="28" t="s">
        <v>1086</v>
      </c>
      <c r="BC493" s="34">
        <f>AW493+AX493</f>
        <v>0</v>
      </c>
      <c r="BD493" s="34">
        <f>H493/(100-BE493)*100</f>
        <v>0</v>
      </c>
      <c r="BE493" s="34">
        <v>0</v>
      </c>
      <c r="BF493" s="34">
        <f>493</f>
        <v>493</v>
      </c>
      <c r="BH493" s="18">
        <f>G493*AO493</f>
        <v>0</v>
      </c>
      <c r="BI493" s="18">
        <f>G493*AP493</f>
        <v>0</v>
      </c>
      <c r="BJ493" s="18">
        <f>G493*H493</f>
        <v>0</v>
      </c>
    </row>
    <row r="494" spans="3:7" ht="12.75">
      <c r="C494" s="101" t="s">
        <v>871</v>
      </c>
      <c r="D494" s="102"/>
      <c r="E494" s="102"/>
      <c r="G494" s="64">
        <v>339.681</v>
      </c>
    </row>
    <row r="495" spans="1:62" ht="12.75">
      <c r="A495" s="5" t="s">
        <v>194</v>
      </c>
      <c r="B495" s="5" t="s">
        <v>361</v>
      </c>
      <c r="C495" s="99" t="s">
        <v>619</v>
      </c>
      <c r="D495" s="100"/>
      <c r="E495" s="100"/>
      <c r="F495" s="5" t="s">
        <v>984</v>
      </c>
      <c r="G495" s="63">
        <v>63.221</v>
      </c>
      <c r="H495" s="18">
        <v>0</v>
      </c>
      <c r="I495" s="18">
        <f>G495*AO495</f>
        <v>0</v>
      </c>
      <c r="J495" s="18">
        <f>G495*AP495</f>
        <v>0</v>
      </c>
      <c r="K495" s="18">
        <f>G495*H495</f>
        <v>0</v>
      </c>
      <c r="L495" s="29"/>
      <c r="Z495" s="34">
        <f>IF(AQ495="5",BJ495,0)</f>
        <v>0</v>
      </c>
      <c r="AB495" s="34">
        <f>IF(AQ495="1",BH495,0)</f>
        <v>0</v>
      </c>
      <c r="AC495" s="34">
        <f>IF(AQ495="1",BI495,0)</f>
        <v>0</v>
      </c>
      <c r="AD495" s="34">
        <f>IF(AQ495="7",BH495,0)</f>
        <v>0</v>
      </c>
      <c r="AE495" s="34">
        <f>IF(AQ495="7",BI495,0)</f>
        <v>0</v>
      </c>
      <c r="AF495" s="34">
        <f>IF(AQ495="2",BH495,0)</f>
        <v>0</v>
      </c>
      <c r="AG495" s="34">
        <f>IF(AQ495="2",BI495,0)</f>
        <v>0</v>
      </c>
      <c r="AH495" s="34">
        <f>IF(AQ495="0",BJ495,0)</f>
        <v>0</v>
      </c>
      <c r="AI495" s="28" t="s">
        <v>1021</v>
      </c>
      <c r="AJ495" s="18">
        <f>IF(AN495=0,K495,0)</f>
        <v>0</v>
      </c>
      <c r="AK495" s="18">
        <f>IF(AN495=15,K495,0)</f>
        <v>0</v>
      </c>
      <c r="AL495" s="18">
        <f>IF(AN495=21,K495,0)</f>
        <v>0</v>
      </c>
      <c r="AN495" s="34">
        <v>21</v>
      </c>
      <c r="AO495" s="34">
        <f>H495*0.325896776891909</f>
        <v>0</v>
      </c>
      <c r="AP495" s="34">
        <f>H495*(1-0.325896776891909)</f>
        <v>0</v>
      </c>
      <c r="AQ495" s="29" t="s">
        <v>6</v>
      </c>
      <c r="AV495" s="34">
        <f>AW495+AX495</f>
        <v>0</v>
      </c>
      <c r="AW495" s="34">
        <f>G495*AO495</f>
        <v>0</v>
      </c>
      <c r="AX495" s="34">
        <f>G495*AP495</f>
        <v>0</v>
      </c>
      <c r="AY495" s="35" t="s">
        <v>1034</v>
      </c>
      <c r="AZ495" s="35" t="s">
        <v>1076</v>
      </c>
      <c r="BA495" s="28" t="s">
        <v>1086</v>
      </c>
      <c r="BC495" s="34">
        <f>AW495+AX495</f>
        <v>0</v>
      </c>
      <c r="BD495" s="34">
        <f>H495/(100-BE495)*100</f>
        <v>0</v>
      </c>
      <c r="BE495" s="34">
        <v>0</v>
      </c>
      <c r="BF495" s="34">
        <f>495</f>
        <v>495</v>
      </c>
      <c r="BH495" s="18">
        <f>G495*AO495</f>
        <v>0</v>
      </c>
      <c r="BI495" s="18">
        <f>G495*AP495</f>
        <v>0</v>
      </c>
      <c r="BJ495" s="18">
        <f>G495*H495</f>
        <v>0</v>
      </c>
    </row>
    <row r="496" spans="3:7" ht="12.75">
      <c r="C496" s="101" t="s">
        <v>872</v>
      </c>
      <c r="D496" s="102"/>
      <c r="E496" s="102"/>
      <c r="G496" s="64">
        <v>63.221</v>
      </c>
    </row>
    <row r="497" spans="1:62" ht="12.75">
      <c r="A497" s="5" t="s">
        <v>195</v>
      </c>
      <c r="B497" s="5" t="s">
        <v>360</v>
      </c>
      <c r="C497" s="99" t="s">
        <v>617</v>
      </c>
      <c r="D497" s="100"/>
      <c r="E497" s="100"/>
      <c r="F497" s="5" t="s">
        <v>984</v>
      </c>
      <c r="G497" s="63">
        <v>63.221</v>
      </c>
      <c r="H497" s="18">
        <v>0</v>
      </c>
      <c r="I497" s="18">
        <f>G497*AO497</f>
        <v>0</v>
      </c>
      <c r="J497" s="18">
        <f>G497*AP497</f>
        <v>0</v>
      </c>
      <c r="K497" s="18">
        <f>G497*H497</f>
        <v>0</v>
      </c>
      <c r="L497" s="29"/>
      <c r="Z497" s="34">
        <f>IF(AQ497="5",BJ497,0)</f>
        <v>0</v>
      </c>
      <c r="AB497" s="34">
        <f>IF(AQ497="1",BH497,0)</f>
        <v>0</v>
      </c>
      <c r="AC497" s="34">
        <f>IF(AQ497="1",BI497,0)</f>
        <v>0</v>
      </c>
      <c r="AD497" s="34">
        <f>IF(AQ497="7",BH497,0)</f>
        <v>0</v>
      </c>
      <c r="AE497" s="34">
        <f>IF(AQ497="7",BI497,0)</f>
        <v>0</v>
      </c>
      <c r="AF497" s="34">
        <f>IF(AQ497="2",BH497,0)</f>
        <v>0</v>
      </c>
      <c r="AG497" s="34">
        <f>IF(AQ497="2",BI497,0)</f>
        <v>0</v>
      </c>
      <c r="AH497" s="34">
        <f>IF(AQ497="0",BJ497,0)</f>
        <v>0</v>
      </c>
      <c r="AI497" s="28" t="s">
        <v>1021</v>
      </c>
      <c r="AJ497" s="18">
        <f>IF(AN497=0,K497,0)</f>
        <v>0</v>
      </c>
      <c r="AK497" s="18">
        <f>IF(AN497=15,K497,0)</f>
        <v>0</v>
      </c>
      <c r="AL497" s="18">
        <f>IF(AN497=21,K497,0)</f>
        <v>0</v>
      </c>
      <c r="AN497" s="34">
        <v>21</v>
      </c>
      <c r="AO497" s="34">
        <f>H497*0.222926642109039</f>
        <v>0</v>
      </c>
      <c r="AP497" s="34">
        <f>H497*(1-0.222926642109039)</f>
        <v>0</v>
      </c>
      <c r="AQ497" s="29" t="s">
        <v>6</v>
      </c>
      <c r="AV497" s="34">
        <f>AW497+AX497</f>
        <v>0</v>
      </c>
      <c r="AW497" s="34">
        <f>G497*AO497</f>
        <v>0</v>
      </c>
      <c r="AX497" s="34">
        <f>G497*AP497</f>
        <v>0</v>
      </c>
      <c r="AY497" s="35" t="s">
        <v>1034</v>
      </c>
      <c r="AZ497" s="35" t="s">
        <v>1076</v>
      </c>
      <c r="BA497" s="28" t="s">
        <v>1086</v>
      </c>
      <c r="BC497" s="34">
        <f>AW497+AX497</f>
        <v>0</v>
      </c>
      <c r="BD497" s="34">
        <f>H497/(100-BE497)*100</f>
        <v>0</v>
      </c>
      <c r="BE497" s="34">
        <v>0</v>
      </c>
      <c r="BF497" s="34">
        <f>497</f>
        <v>497</v>
      </c>
      <c r="BH497" s="18">
        <f>G497*AO497</f>
        <v>0</v>
      </c>
      <c r="BI497" s="18">
        <f>G497*AP497</f>
        <v>0</v>
      </c>
      <c r="BJ497" s="18">
        <f>G497*H497</f>
        <v>0</v>
      </c>
    </row>
    <row r="498" spans="3:7" ht="12.75">
      <c r="C498" s="101" t="s">
        <v>873</v>
      </c>
      <c r="D498" s="102"/>
      <c r="E498" s="102"/>
      <c r="G498" s="64">
        <v>63.221</v>
      </c>
    </row>
    <row r="499" spans="1:62" ht="12.75">
      <c r="A499" s="5" t="s">
        <v>196</v>
      </c>
      <c r="B499" s="5" t="s">
        <v>350</v>
      </c>
      <c r="C499" s="99" t="s">
        <v>620</v>
      </c>
      <c r="D499" s="100"/>
      <c r="E499" s="100"/>
      <c r="F499" s="5" t="s">
        <v>984</v>
      </c>
      <c r="G499" s="63">
        <v>3.114</v>
      </c>
      <c r="H499" s="18">
        <v>0</v>
      </c>
      <c r="I499" s="18">
        <f>G499*AO499</f>
        <v>0</v>
      </c>
      <c r="J499" s="18">
        <f>G499*AP499</f>
        <v>0</v>
      </c>
      <c r="K499" s="18">
        <f>G499*H499</f>
        <v>0</v>
      </c>
      <c r="L499" s="29"/>
      <c r="Z499" s="34">
        <f>IF(AQ499="5",BJ499,0)</f>
        <v>0</v>
      </c>
      <c r="AB499" s="34">
        <f>IF(AQ499="1",BH499,0)</f>
        <v>0</v>
      </c>
      <c r="AC499" s="34">
        <f>IF(AQ499="1",BI499,0)</f>
        <v>0</v>
      </c>
      <c r="AD499" s="34">
        <f>IF(AQ499="7",BH499,0)</f>
        <v>0</v>
      </c>
      <c r="AE499" s="34">
        <f>IF(AQ499="7",BI499,0)</f>
        <v>0</v>
      </c>
      <c r="AF499" s="34">
        <f>IF(AQ499="2",BH499,0)</f>
        <v>0</v>
      </c>
      <c r="AG499" s="34">
        <f>IF(AQ499="2",BI499,0)</f>
        <v>0</v>
      </c>
      <c r="AH499" s="34">
        <f>IF(AQ499="0",BJ499,0)</f>
        <v>0</v>
      </c>
      <c r="AI499" s="28" t="s">
        <v>1021</v>
      </c>
      <c r="AJ499" s="18">
        <f>IF(AN499=0,K499,0)</f>
        <v>0</v>
      </c>
      <c r="AK499" s="18">
        <f>IF(AN499=15,K499,0)</f>
        <v>0</v>
      </c>
      <c r="AL499" s="18">
        <f>IF(AN499=21,K499,0)</f>
        <v>0</v>
      </c>
      <c r="AN499" s="34">
        <v>21</v>
      </c>
      <c r="AO499" s="34">
        <f>H499*0.665839144469772</f>
        <v>0</v>
      </c>
      <c r="AP499" s="34">
        <f>H499*(1-0.665839144469772)</f>
        <v>0</v>
      </c>
      <c r="AQ499" s="29" t="s">
        <v>6</v>
      </c>
      <c r="AV499" s="34">
        <f>AW499+AX499</f>
        <v>0</v>
      </c>
      <c r="AW499" s="34">
        <f>G499*AO499</f>
        <v>0</v>
      </c>
      <c r="AX499" s="34">
        <f>G499*AP499</f>
        <v>0</v>
      </c>
      <c r="AY499" s="35" t="s">
        <v>1034</v>
      </c>
      <c r="AZ499" s="35" t="s">
        <v>1076</v>
      </c>
      <c r="BA499" s="28" t="s">
        <v>1086</v>
      </c>
      <c r="BC499" s="34">
        <f>AW499+AX499</f>
        <v>0</v>
      </c>
      <c r="BD499" s="34">
        <f>H499/(100-BE499)*100</f>
        <v>0</v>
      </c>
      <c r="BE499" s="34">
        <v>0</v>
      </c>
      <c r="BF499" s="34">
        <f>499</f>
        <v>499</v>
      </c>
      <c r="BH499" s="18">
        <f>G499*AO499</f>
        <v>0</v>
      </c>
      <c r="BI499" s="18">
        <f>G499*AP499</f>
        <v>0</v>
      </c>
      <c r="BJ499" s="18">
        <f>G499*H499</f>
        <v>0</v>
      </c>
    </row>
    <row r="500" spans="3:7" ht="12.75">
      <c r="C500" s="101" t="s">
        <v>621</v>
      </c>
      <c r="D500" s="102"/>
      <c r="E500" s="102"/>
      <c r="G500" s="64">
        <v>3.114</v>
      </c>
    </row>
    <row r="501" spans="1:62" ht="12.75">
      <c r="A501" s="5" t="s">
        <v>197</v>
      </c>
      <c r="B501" s="5" t="s">
        <v>484</v>
      </c>
      <c r="C501" s="99" t="s">
        <v>874</v>
      </c>
      <c r="D501" s="100"/>
      <c r="E501" s="100"/>
      <c r="F501" s="5" t="s">
        <v>984</v>
      </c>
      <c r="G501" s="63">
        <v>44.23</v>
      </c>
      <c r="H501" s="18">
        <v>0</v>
      </c>
      <c r="I501" s="18">
        <f>G501*AO501</f>
        <v>0</v>
      </c>
      <c r="J501" s="18">
        <f>G501*AP501</f>
        <v>0</v>
      </c>
      <c r="K501" s="18">
        <f>G501*H501</f>
        <v>0</v>
      </c>
      <c r="L501" s="29"/>
      <c r="Z501" s="34">
        <f>IF(AQ501="5",BJ501,0)</f>
        <v>0</v>
      </c>
      <c r="AB501" s="34">
        <f>IF(AQ501="1",BH501,0)</f>
        <v>0</v>
      </c>
      <c r="AC501" s="34">
        <f>IF(AQ501="1",BI501,0)</f>
        <v>0</v>
      </c>
      <c r="AD501" s="34">
        <f>IF(AQ501="7",BH501,0)</f>
        <v>0</v>
      </c>
      <c r="AE501" s="34">
        <f>IF(AQ501="7",BI501,0)</f>
        <v>0</v>
      </c>
      <c r="AF501" s="34">
        <f>IF(AQ501="2",BH501,0)</f>
        <v>0</v>
      </c>
      <c r="AG501" s="34">
        <f>IF(AQ501="2",BI501,0)</f>
        <v>0</v>
      </c>
      <c r="AH501" s="34">
        <f>IF(AQ501="0",BJ501,0)</f>
        <v>0</v>
      </c>
      <c r="AI501" s="28" t="s">
        <v>1021</v>
      </c>
      <c r="AJ501" s="18">
        <f>IF(AN501=0,K501,0)</f>
        <v>0</v>
      </c>
      <c r="AK501" s="18">
        <f>IF(AN501=15,K501,0)</f>
        <v>0</v>
      </c>
      <c r="AL501" s="18">
        <f>IF(AN501=21,K501,0)</f>
        <v>0</v>
      </c>
      <c r="AN501" s="34">
        <v>21</v>
      </c>
      <c r="AO501" s="34">
        <f>H501*0.680371747211896</f>
        <v>0</v>
      </c>
      <c r="AP501" s="34">
        <f>H501*(1-0.680371747211896)</f>
        <v>0</v>
      </c>
      <c r="AQ501" s="29" t="s">
        <v>6</v>
      </c>
      <c r="AV501" s="34">
        <f>AW501+AX501</f>
        <v>0</v>
      </c>
      <c r="AW501" s="34">
        <f>G501*AO501</f>
        <v>0</v>
      </c>
      <c r="AX501" s="34">
        <f>G501*AP501</f>
        <v>0</v>
      </c>
      <c r="AY501" s="35" t="s">
        <v>1034</v>
      </c>
      <c r="AZ501" s="35" t="s">
        <v>1076</v>
      </c>
      <c r="BA501" s="28" t="s">
        <v>1086</v>
      </c>
      <c r="BC501" s="34">
        <f>AW501+AX501</f>
        <v>0</v>
      </c>
      <c r="BD501" s="34">
        <f>H501/(100-BE501)*100</f>
        <v>0</v>
      </c>
      <c r="BE501" s="34">
        <v>0</v>
      </c>
      <c r="BF501" s="34">
        <f>501</f>
        <v>501</v>
      </c>
      <c r="BH501" s="18">
        <f>G501*AO501</f>
        <v>0</v>
      </c>
      <c r="BI501" s="18">
        <f>G501*AP501</f>
        <v>0</v>
      </c>
      <c r="BJ501" s="18">
        <f>G501*H501</f>
        <v>0</v>
      </c>
    </row>
    <row r="502" spans="3:7" ht="12.75">
      <c r="C502" s="101" t="s">
        <v>865</v>
      </c>
      <c r="D502" s="102"/>
      <c r="E502" s="102"/>
      <c r="G502" s="64">
        <v>10.53</v>
      </c>
    </row>
    <row r="503" spans="3:7" ht="12.75">
      <c r="C503" s="101" t="s">
        <v>866</v>
      </c>
      <c r="D503" s="102"/>
      <c r="E503" s="102"/>
      <c r="G503" s="64">
        <v>2.83</v>
      </c>
    </row>
    <row r="504" spans="3:7" ht="12.75">
      <c r="C504" s="101" t="s">
        <v>867</v>
      </c>
      <c r="D504" s="102"/>
      <c r="E504" s="102"/>
      <c r="G504" s="64">
        <v>18.99</v>
      </c>
    </row>
    <row r="505" spans="3:7" ht="12.75">
      <c r="C505" s="101" t="s">
        <v>868</v>
      </c>
      <c r="D505" s="102"/>
      <c r="E505" s="102"/>
      <c r="G505" s="64">
        <v>11.88</v>
      </c>
    </row>
    <row r="506" spans="1:47" ht="12.75">
      <c r="A506" s="4"/>
      <c r="B506" s="14" t="s">
        <v>68</v>
      </c>
      <c r="C506" s="97" t="s">
        <v>622</v>
      </c>
      <c r="D506" s="98"/>
      <c r="E506" s="98"/>
      <c r="F506" s="4" t="s">
        <v>5</v>
      </c>
      <c r="G506" s="4" t="s">
        <v>5</v>
      </c>
      <c r="H506" s="4" t="s">
        <v>5</v>
      </c>
      <c r="I506" s="37">
        <f>SUM(I507:I511)</f>
        <v>0</v>
      </c>
      <c r="J506" s="37">
        <f>SUM(J507:J511)</f>
        <v>0</v>
      </c>
      <c r="K506" s="37">
        <f>SUM(K507:K511)</f>
        <v>0</v>
      </c>
      <c r="L506" s="28"/>
      <c r="AI506" s="28" t="s">
        <v>1021</v>
      </c>
      <c r="AS506" s="37">
        <f>SUM(AJ507:AJ511)</f>
        <v>0</v>
      </c>
      <c r="AT506" s="37">
        <f>SUM(AK507:AK511)</f>
        <v>0</v>
      </c>
      <c r="AU506" s="37">
        <f>SUM(AL507:AL511)</f>
        <v>0</v>
      </c>
    </row>
    <row r="507" spans="1:62" ht="12.75">
      <c r="A507" s="5" t="s">
        <v>198</v>
      </c>
      <c r="B507" s="5" t="s">
        <v>362</v>
      </c>
      <c r="C507" s="99" t="s">
        <v>875</v>
      </c>
      <c r="D507" s="100"/>
      <c r="E507" s="100"/>
      <c r="F507" s="5" t="s">
        <v>984</v>
      </c>
      <c r="G507" s="63">
        <v>17.82</v>
      </c>
      <c r="H507" s="18">
        <v>0</v>
      </c>
      <c r="I507" s="18">
        <f>G507*AO507</f>
        <v>0</v>
      </c>
      <c r="J507" s="18">
        <f>G507*AP507</f>
        <v>0</v>
      </c>
      <c r="K507" s="18">
        <f>G507*H507</f>
        <v>0</v>
      </c>
      <c r="L507" s="29"/>
      <c r="Z507" s="34">
        <f>IF(AQ507="5",BJ507,0)</f>
        <v>0</v>
      </c>
      <c r="AB507" s="34">
        <f>IF(AQ507="1",BH507,0)</f>
        <v>0</v>
      </c>
      <c r="AC507" s="34">
        <f>IF(AQ507="1",BI507,0)</f>
        <v>0</v>
      </c>
      <c r="AD507" s="34">
        <f>IF(AQ507="7",BH507,0)</f>
        <v>0</v>
      </c>
      <c r="AE507" s="34">
        <f>IF(AQ507="7",BI507,0)</f>
        <v>0</v>
      </c>
      <c r="AF507" s="34">
        <f>IF(AQ507="2",BH507,0)</f>
        <v>0</v>
      </c>
      <c r="AG507" s="34">
        <f>IF(AQ507="2",BI507,0)</f>
        <v>0</v>
      </c>
      <c r="AH507" s="34">
        <f>IF(AQ507="0",BJ507,0)</f>
        <v>0</v>
      </c>
      <c r="AI507" s="28" t="s">
        <v>1021</v>
      </c>
      <c r="AJ507" s="18">
        <f>IF(AN507=0,K507,0)</f>
        <v>0</v>
      </c>
      <c r="AK507" s="18">
        <f>IF(AN507=15,K507,0)</f>
        <v>0</v>
      </c>
      <c r="AL507" s="18">
        <f>IF(AN507=21,K507,0)</f>
        <v>0</v>
      </c>
      <c r="AN507" s="34">
        <v>21</v>
      </c>
      <c r="AO507" s="34">
        <f>H507*0.431411764705882</f>
        <v>0</v>
      </c>
      <c r="AP507" s="34">
        <f>H507*(1-0.431411764705882)</f>
        <v>0</v>
      </c>
      <c r="AQ507" s="29" t="s">
        <v>6</v>
      </c>
      <c r="AV507" s="34">
        <f>AW507+AX507</f>
        <v>0</v>
      </c>
      <c r="AW507" s="34">
        <f>G507*AO507</f>
        <v>0</v>
      </c>
      <c r="AX507" s="34">
        <f>G507*AP507</f>
        <v>0</v>
      </c>
      <c r="AY507" s="35" t="s">
        <v>1035</v>
      </c>
      <c r="AZ507" s="35" t="s">
        <v>1076</v>
      </c>
      <c r="BA507" s="28" t="s">
        <v>1086</v>
      </c>
      <c r="BC507" s="34">
        <f>AW507+AX507</f>
        <v>0</v>
      </c>
      <c r="BD507" s="34">
        <f>H507/(100-BE507)*100</f>
        <v>0</v>
      </c>
      <c r="BE507" s="34">
        <v>0</v>
      </c>
      <c r="BF507" s="34">
        <f>507</f>
        <v>507</v>
      </c>
      <c r="BH507" s="18">
        <f>G507*AO507</f>
        <v>0</v>
      </c>
      <c r="BI507" s="18">
        <f>G507*AP507</f>
        <v>0</v>
      </c>
      <c r="BJ507" s="18">
        <f>G507*H507</f>
        <v>0</v>
      </c>
    </row>
    <row r="508" spans="3:7" ht="12.75">
      <c r="C508" s="101" t="s">
        <v>624</v>
      </c>
      <c r="D508" s="102"/>
      <c r="E508" s="102"/>
      <c r="G508" s="64">
        <v>17.82</v>
      </c>
    </row>
    <row r="509" spans="1:62" ht="12.75">
      <c r="A509" s="5" t="s">
        <v>199</v>
      </c>
      <c r="B509" s="5" t="s">
        <v>363</v>
      </c>
      <c r="C509" s="99" t="s">
        <v>625</v>
      </c>
      <c r="D509" s="100"/>
      <c r="E509" s="100"/>
      <c r="F509" s="5" t="s">
        <v>984</v>
      </c>
      <c r="G509" s="63">
        <v>10.7</v>
      </c>
      <c r="H509" s="18">
        <v>0</v>
      </c>
      <c r="I509" s="18">
        <f>G509*AO509</f>
        <v>0</v>
      </c>
      <c r="J509" s="18">
        <f>G509*AP509</f>
        <v>0</v>
      </c>
      <c r="K509" s="18">
        <f>G509*H509</f>
        <v>0</v>
      </c>
      <c r="L509" s="29"/>
      <c r="Z509" s="34">
        <f>IF(AQ509="5",BJ509,0)</f>
        <v>0</v>
      </c>
      <c r="AB509" s="34">
        <f>IF(AQ509="1",BH509,0)</f>
        <v>0</v>
      </c>
      <c r="AC509" s="34">
        <f>IF(AQ509="1",BI509,0)</f>
        <v>0</v>
      </c>
      <c r="AD509" s="34">
        <f>IF(AQ509="7",BH509,0)</f>
        <v>0</v>
      </c>
      <c r="AE509" s="34">
        <f>IF(AQ509="7",BI509,0)</f>
        <v>0</v>
      </c>
      <c r="AF509" s="34">
        <f>IF(AQ509="2",BH509,0)</f>
        <v>0</v>
      </c>
      <c r="AG509" s="34">
        <f>IF(AQ509="2",BI509,0)</f>
        <v>0</v>
      </c>
      <c r="AH509" s="34">
        <f>IF(AQ509="0",BJ509,0)</f>
        <v>0</v>
      </c>
      <c r="AI509" s="28" t="s">
        <v>1021</v>
      </c>
      <c r="AJ509" s="18">
        <f>IF(AN509=0,K509,0)</f>
        <v>0</v>
      </c>
      <c r="AK509" s="18">
        <f>IF(AN509=15,K509,0)</f>
        <v>0</v>
      </c>
      <c r="AL509" s="18">
        <f>IF(AN509=21,K509,0)</f>
        <v>0</v>
      </c>
      <c r="AN509" s="34">
        <v>21</v>
      </c>
      <c r="AO509" s="34">
        <f>H509*0.200522648083624</f>
        <v>0</v>
      </c>
      <c r="AP509" s="34">
        <f>H509*(1-0.200522648083624)</f>
        <v>0</v>
      </c>
      <c r="AQ509" s="29" t="s">
        <v>6</v>
      </c>
      <c r="AV509" s="34">
        <f>AW509+AX509</f>
        <v>0</v>
      </c>
      <c r="AW509" s="34">
        <f>G509*AO509</f>
        <v>0</v>
      </c>
      <c r="AX509" s="34">
        <f>G509*AP509</f>
        <v>0</v>
      </c>
      <c r="AY509" s="35" t="s">
        <v>1035</v>
      </c>
      <c r="AZ509" s="35" t="s">
        <v>1076</v>
      </c>
      <c r="BA509" s="28" t="s">
        <v>1086</v>
      </c>
      <c r="BC509" s="34">
        <f>AW509+AX509</f>
        <v>0</v>
      </c>
      <c r="BD509" s="34">
        <f>H509/(100-BE509)*100</f>
        <v>0</v>
      </c>
      <c r="BE509" s="34">
        <v>0</v>
      </c>
      <c r="BF509" s="34">
        <f>509</f>
        <v>509</v>
      </c>
      <c r="BH509" s="18">
        <f>G509*AO509</f>
        <v>0</v>
      </c>
      <c r="BI509" s="18">
        <f>G509*AP509</f>
        <v>0</v>
      </c>
      <c r="BJ509" s="18">
        <f>G509*H509</f>
        <v>0</v>
      </c>
    </row>
    <row r="510" spans="3:7" ht="12.75">
      <c r="C510" s="101" t="s">
        <v>830</v>
      </c>
      <c r="D510" s="102"/>
      <c r="E510" s="102"/>
      <c r="G510" s="64">
        <v>10.7</v>
      </c>
    </row>
    <row r="511" spans="1:62" ht="12.75">
      <c r="A511" s="5" t="s">
        <v>200</v>
      </c>
      <c r="B511" s="5" t="s">
        <v>364</v>
      </c>
      <c r="C511" s="99" t="s">
        <v>627</v>
      </c>
      <c r="D511" s="100"/>
      <c r="E511" s="100"/>
      <c r="F511" s="5" t="s">
        <v>984</v>
      </c>
      <c r="G511" s="63">
        <v>10.7</v>
      </c>
      <c r="H511" s="18">
        <v>0</v>
      </c>
      <c r="I511" s="18">
        <f>G511*AO511</f>
        <v>0</v>
      </c>
      <c r="J511" s="18">
        <f>G511*AP511</f>
        <v>0</v>
      </c>
      <c r="K511" s="18">
        <f>G511*H511</f>
        <v>0</v>
      </c>
      <c r="L511" s="29"/>
      <c r="Z511" s="34">
        <f>IF(AQ511="5",BJ511,0)</f>
        <v>0</v>
      </c>
      <c r="AB511" s="34">
        <f>IF(AQ511="1",BH511,0)</f>
        <v>0</v>
      </c>
      <c r="AC511" s="34">
        <f>IF(AQ511="1",BI511,0)</f>
        <v>0</v>
      </c>
      <c r="AD511" s="34">
        <f>IF(AQ511="7",BH511,0)</f>
        <v>0</v>
      </c>
      <c r="AE511" s="34">
        <f>IF(AQ511="7",BI511,0)</f>
        <v>0</v>
      </c>
      <c r="AF511" s="34">
        <f>IF(AQ511="2",BH511,0)</f>
        <v>0</v>
      </c>
      <c r="AG511" s="34">
        <f>IF(AQ511="2",BI511,0)</f>
        <v>0</v>
      </c>
      <c r="AH511" s="34">
        <f>IF(AQ511="0",BJ511,0)</f>
        <v>0</v>
      </c>
      <c r="AI511" s="28" t="s">
        <v>1021</v>
      </c>
      <c r="AJ511" s="18">
        <f>IF(AN511=0,K511,0)</f>
        <v>0</v>
      </c>
      <c r="AK511" s="18">
        <f>IF(AN511=15,K511,0)</f>
        <v>0</v>
      </c>
      <c r="AL511" s="18">
        <f>IF(AN511=21,K511,0)</f>
        <v>0</v>
      </c>
      <c r="AN511" s="34">
        <v>21</v>
      </c>
      <c r="AO511" s="34">
        <f>H511*0.560682926829268</f>
        <v>0</v>
      </c>
      <c r="AP511" s="34">
        <f>H511*(1-0.560682926829268)</f>
        <v>0</v>
      </c>
      <c r="AQ511" s="29" t="s">
        <v>6</v>
      </c>
      <c r="AV511" s="34">
        <f>AW511+AX511</f>
        <v>0</v>
      </c>
      <c r="AW511" s="34">
        <f>G511*AO511</f>
        <v>0</v>
      </c>
      <c r="AX511" s="34">
        <f>G511*AP511</f>
        <v>0</v>
      </c>
      <c r="AY511" s="35" t="s">
        <v>1035</v>
      </c>
      <c r="AZ511" s="35" t="s">
        <v>1076</v>
      </c>
      <c r="BA511" s="28" t="s">
        <v>1086</v>
      </c>
      <c r="BC511" s="34">
        <f>AW511+AX511</f>
        <v>0</v>
      </c>
      <c r="BD511" s="34">
        <f>H511/(100-BE511)*100</f>
        <v>0</v>
      </c>
      <c r="BE511" s="34">
        <v>0</v>
      </c>
      <c r="BF511" s="34">
        <f>511</f>
        <v>511</v>
      </c>
      <c r="BH511" s="18">
        <f>G511*AO511</f>
        <v>0</v>
      </c>
      <c r="BI511" s="18">
        <f>G511*AP511</f>
        <v>0</v>
      </c>
      <c r="BJ511" s="18">
        <f>G511*H511</f>
        <v>0</v>
      </c>
    </row>
    <row r="512" spans="3:7" ht="12.75">
      <c r="C512" s="101" t="s">
        <v>830</v>
      </c>
      <c r="D512" s="102"/>
      <c r="E512" s="102"/>
      <c r="G512" s="64">
        <v>10.7</v>
      </c>
    </row>
    <row r="513" spans="1:47" ht="12.75">
      <c r="A513" s="4"/>
      <c r="B513" s="14" t="s">
        <v>365</v>
      </c>
      <c r="C513" s="97" t="s">
        <v>628</v>
      </c>
      <c r="D513" s="98"/>
      <c r="E513" s="98"/>
      <c r="F513" s="4" t="s">
        <v>5</v>
      </c>
      <c r="G513" s="4" t="s">
        <v>5</v>
      </c>
      <c r="H513" s="4" t="s">
        <v>5</v>
      </c>
      <c r="I513" s="37">
        <f>SUM(I514:I527)</f>
        <v>0</v>
      </c>
      <c r="J513" s="37">
        <f>SUM(J514:J527)</f>
        <v>0</v>
      </c>
      <c r="K513" s="37">
        <f>SUM(K514:K527)</f>
        <v>0</v>
      </c>
      <c r="L513" s="28"/>
      <c r="AI513" s="28" t="s">
        <v>1021</v>
      </c>
      <c r="AS513" s="37">
        <f>SUM(AJ514:AJ527)</f>
        <v>0</v>
      </c>
      <c r="AT513" s="37">
        <f>SUM(AK514:AK527)</f>
        <v>0</v>
      </c>
      <c r="AU513" s="37">
        <f>SUM(AL514:AL527)</f>
        <v>0</v>
      </c>
    </row>
    <row r="514" spans="1:62" ht="12.75">
      <c r="A514" s="5" t="s">
        <v>201</v>
      </c>
      <c r="B514" s="5" t="s">
        <v>366</v>
      </c>
      <c r="C514" s="99" t="s">
        <v>876</v>
      </c>
      <c r="D514" s="100"/>
      <c r="E514" s="100"/>
      <c r="F514" s="5" t="s">
        <v>984</v>
      </c>
      <c r="G514" s="63">
        <v>12.48</v>
      </c>
      <c r="H514" s="18">
        <v>0</v>
      </c>
      <c r="I514" s="18">
        <f>G514*AO514</f>
        <v>0</v>
      </c>
      <c r="J514" s="18">
        <f>G514*AP514</f>
        <v>0</v>
      </c>
      <c r="K514" s="18">
        <f>G514*H514</f>
        <v>0</v>
      </c>
      <c r="L514" s="29"/>
      <c r="Z514" s="34">
        <f>IF(AQ514="5",BJ514,0)</f>
        <v>0</v>
      </c>
      <c r="AB514" s="34">
        <f>IF(AQ514="1",BH514,0)</f>
        <v>0</v>
      </c>
      <c r="AC514" s="34">
        <f>IF(AQ514="1",BI514,0)</f>
        <v>0</v>
      </c>
      <c r="AD514" s="34">
        <f>IF(AQ514="7",BH514,0)</f>
        <v>0</v>
      </c>
      <c r="AE514" s="34">
        <f>IF(AQ514="7",BI514,0)</f>
        <v>0</v>
      </c>
      <c r="AF514" s="34">
        <f>IF(AQ514="2",BH514,0)</f>
        <v>0</v>
      </c>
      <c r="AG514" s="34">
        <f>IF(AQ514="2",BI514,0)</f>
        <v>0</v>
      </c>
      <c r="AH514" s="34">
        <f>IF(AQ514="0",BJ514,0)</f>
        <v>0</v>
      </c>
      <c r="AI514" s="28" t="s">
        <v>1021</v>
      </c>
      <c r="AJ514" s="18">
        <f>IF(AN514=0,K514,0)</f>
        <v>0</v>
      </c>
      <c r="AK514" s="18">
        <f>IF(AN514=15,K514,0)</f>
        <v>0</v>
      </c>
      <c r="AL514" s="18">
        <f>IF(AN514=21,K514,0)</f>
        <v>0</v>
      </c>
      <c r="AN514" s="34">
        <v>21</v>
      </c>
      <c r="AO514" s="34">
        <f>H514*0.272609646187481</f>
        <v>0</v>
      </c>
      <c r="AP514" s="34">
        <f>H514*(1-0.272609646187481)</f>
        <v>0</v>
      </c>
      <c r="AQ514" s="29" t="s">
        <v>12</v>
      </c>
      <c r="AV514" s="34">
        <f>AW514+AX514</f>
        <v>0</v>
      </c>
      <c r="AW514" s="34">
        <f>G514*AO514</f>
        <v>0</v>
      </c>
      <c r="AX514" s="34">
        <f>G514*AP514</f>
        <v>0</v>
      </c>
      <c r="AY514" s="35" t="s">
        <v>1036</v>
      </c>
      <c r="AZ514" s="35" t="s">
        <v>1077</v>
      </c>
      <c r="BA514" s="28" t="s">
        <v>1086</v>
      </c>
      <c r="BC514" s="34">
        <f>AW514+AX514</f>
        <v>0</v>
      </c>
      <c r="BD514" s="34">
        <f>H514/(100-BE514)*100</f>
        <v>0</v>
      </c>
      <c r="BE514" s="34">
        <v>0</v>
      </c>
      <c r="BF514" s="34">
        <f>514</f>
        <v>514</v>
      </c>
      <c r="BH514" s="18">
        <f>G514*AO514</f>
        <v>0</v>
      </c>
      <c r="BI514" s="18">
        <f>G514*AP514</f>
        <v>0</v>
      </c>
      <c r="BJ514" s="18">
        <f>G514*H514</f>
        <v>0</v>
      </c>
    </row>
    <row r="515" spans="3:7" ht="12.75">
      <c r="C515" s="101" t="s">
        <v>877</v>
      </c>
      <c r="D515" s="102"/>
      <c r="E515" s="102"/>
      <c r="G515" s="64">
        <v>12.48</v>
      </c>
    </row>
    <row r="516" spans="1:62" ht="12.75">
      <c r="A516" s="5" t="s">
        <v>202</v>
      </c>
      <c r="B516" s="5" t="s">
        <v>366</v>
      </c>
      <c r="C516" s="99" t="s">
        <v>629</v>
      </c>
      <c r="D516" s="100"/>
      <c r="E516" s="100"/>
      <c r="F516" s="5" t="s">
        <v>984</v>
      </c>
      <c r="G516" s="63">
        <v>32.45</v>
      </c>
      <c r="H516" s="18">
        <v>0</v>
      </c>
      <c r="I516" s="18">
        <f>G516*AO516</f>
        <v>0</v>
      </c>
      <c r="J516" s="18">
        <f>G516*AP516</f>
        <v>0</v>
      </c>
      <c r="K516" s="18">
        <f>G516*H516</f>
        <v>0</v>
      </c>
      <c r="L516" s="29"/>
      <c r="Z516" s="34">
        <f>IF(AQ516="5",BJ516,0)</f>
        <v>0</v>
      </c>
      <c r="AB516" s="34">
        <f>IF(AQ516="1",BH516,0)</f>
        <v>0</v>
      </c>
      <c r="AC516" s="34">
        <f>IF(AQ516="1",BI516,0)</f>
        <v>0</v>
      </c>
      <c r="AD516" s="34">
        <f>IF(AQ516="7",BH516,0)</f>
        <v>0</v>
      </c>
      <c r="AE516" s="34">
        <f>IF(AQ516="7",BI516,0)</f>
        <v>0</v>
      </c>
      <c r="AF516" s="34">
        <f>IF(AQ516="2",BH516,0)</f>
        <v>0</v>
      </c>
      <c r="AG516" s="34">
        <f>IF(AQ516="2",BI516,0)</f>
        <v>0</v>
      </c>
      <c r="AH516" s="34">
        <f>IF(AQ516="0",BJ516,0)</f>
        <v>0</v>
      </c>
      <c r="AI516" s="28" t="s">
        <v>1021</v>
      </c>
      <c r="AJ516" s="18">
        <f>IF(AN516=0,K516,0)</f>
        <v>0</v>
      </c>
      <c r="AK516" s="18">
        <f>IF(AN516=15,K516,0)</f>
        <v>0</v>
      </c>
      <c r="AL516" s="18">
        <f>IF(AN516=21,K516,0)</f>
        <v>0</v>
      </c>
      <c r="AN516" s="34">
        <v>21</v>
      </c>
      <c r="AO516" s="34">
        <f>H516*0.272609140177027</f>
        <v>0</v>
      </c>
      <c r="AP516" s="34">
        <f>H516*(1-0.272609140177027)</f>
        <v>0</v>
      </c>
      <c r="AQ516" s="29" t="s">
        <v>12</v>
      </c>
      <c r="AV516" s="34">
        <f>AW516+AX516</f>
        <v>0</v>
      </c>
      <c r="AW516" s="34">
        <f>G516*AO516</f>
        <v>0</v>
      </c>
      <c r="AX516" s="34">
        <f>G516*AP516</f>
        <v>0</v>
      </c>
      <c r="AY516" s="35" t="s">
        <v>1036</v>
      </c>
      <c r="AZ516" s="35" t="s">
        <v>1077</v>
      </c>
      <c r="BA516" s="28" t="s">
        <v>1086</v>
      </c>
      <c r="BC516" s="34">
        <f>AW516+AX516</f>
        <v>0</v>
      </c>
      <c r="BD516" s="34">
        <f>H516/(100-BE516)*100</f>
        <v>0</v>
      </c>
      <c r="BE516" s="34">
        <v>0</v>
      </c>
      <c r="BF516" s="34">
        <f>516</f>
        <v>516</v>
      </c>
      <c r="BH516" s="18">
        <f>G516*AO516</f>
        <v>0</v>
      </c>
      <c r="BI516" s="18">
        <f>G516*AP516</f>
        <v>0</v>
      </c>
      <c r="BJ516" s="18">
        <f>G516*H516</f>
        <v>0</v>
      </c>
    </row>
    <row r="517" spans="3:7" ht="12.75">
      <c r="C517" s="101" t="s">
        <v>878</v>
      </c>
      <c r="D517" s="102"/>
      <c r="E517" s="102"/>
      <c r="G517" s="64">
        <v>32.45</v>
      </c>
    </row>
    <row r="518" spans="1:62" ht="12.75">
      <c r="A518" s="5" t="s">
        <v>203</v>
      </c>
      <c r="B518" s="5" t="s">
        <v>367</v>
      </c>
      <c r="C518" s="99" t="s">
        <v>631</v>
      </c>
      <c r="D518" s="100"/>
      <c r="E518" s="100"/>
      <c r="F518" s="5" t="s">
        <v>984</v>
      </c>
      <c r="G518" s="63">
        <v>63.221</v>
      </c>
      <c r="H518" s="18">
        <v>0</v>
      </c>
      <c r="I518" s="18">
        <f>G518*AO518</f>
        <v>0</v>
      </c>
      <c r="J518" s="18">
        <f>G518*AP518</f>
        <v>0</v>
      </c>
      <c r="K518" s="18">
        <f>G518*H518</f>
        <v>0</v>
      </c>
      <c r="L518" s="29"/>
      <c r="Z518" s="34">
        <f>IF(AQ518="5",BJ518,0)</f>
        <v>0</v>
      </c>
      <c r="AB518" s="34">
        <f>IF(AQ518="1",BH518,0)</f>
        <v>0</v>
      </c>
      <c r="AC518" s="34">
        <f>IF(AQ518="1",BI518,0)</f>
        <v>0</v>
      </c>
      <c r="AD518" s="34">
        <f>IF(AQ518="7",BH518,0)</f>
        <v>0</v>
      </c>
      <c r="AE518" s="34">
        <f>IF(AQ518="7",BI518,0)</f>
        <v>0</v>
      </c>
      <c r="AF518" s="34">
        <f>IF(AQ518="2",BH518,0)</f>
        <v>0</v>
      </c>
      <c r="AG518" s="34">
        <f>IF(AQ518="2",BI518,0)</f>
        <v>0</v>
      </c>
      <c r="AH518" s="34">
        <f>IF(AQ518="0",BJ518,0)</f>
        <v>0</v>
      </c>
      <c r="AI518" s="28" t="s">
        <v>1021</v>
      </c>
      <c r="AJ518" s="18">
        <f>IF(AN518=0,K518,0)</f>
        <v>0</v>
      </c>
      <c r="AK518" s="18">
        <f>IF(AN518=15,K518,0)</f>
        <v>0</v>
      </c>
      <c r="AL518" s="18">
        <f>IF(AN518=21,K518,0)</f>
        <v>0</v>
      </c>
      <c r="AN518" s="34">
        <v>21</v>
      </c>
      <c r="AO518" s="34">
        <f>H518*0.406259166721641</f>
        <v>0</v>
      </c>
      <c r="AP518" s="34">
        <f>H518*(1-0.406259166721641)</f>
        <v>0</v>
      </c>
      <c r="AQ518" s="29" t="s">
        <v>12</v>
      </c>
      <c r="AV518" s="34">
        <f>AW518+AX518</f>
        <v>0</v>
      </c>
      <c r="AW518" s="34">
        <f>G518*AO518</f>
        <v>0</v>
      </c>
      <c r="AX518" s="34">
        <f>G518*AP518</f>
        <v>0</v>
      </c>
      <c r="AY518" s="35" t="s">
        <v>1036</v>
      </c>
      <c r="AZ518" s="35" t="s">
        <v>1077</v>
      </c>
      <c r="BA518" s="28" t="s">
        <v>1086</v>
      </c>
      <c r="BC518" s="34">
        <f>AW518+AX518</f>
        <v>0</v>
      </c>
      <c r="BD518" s="34">
        <f>H518/(100-BE518)*100</f>
        <v>0</v>
      </c>
      <c r="BE518" s="34">
        <v>0</v>
      </c>
      <c r="BF518" s="34">
        <f>518</f>
        <v>518</v>
      </c>
      <c r="BH518" s="18">
        <f>G518*AO518</f>
        <v>0</v>
      </c>
      <c r="BI518" s="18">
        <f>G518*AP518</f>
        <v>0</v>
      </c>
      <c r="BJ518" s="18">
        <f>G518*H518</f>
        <v>0</v>
      </c>
    </row>
    <row r="519" spans="3:7" ht="12.75">
      <c r="C519" s="101" t="s">
        <v>879</v>
      </c>
      <c r="D519" s="102"/>
      <c r="E519" s="102"/>
      <c r="G519" s="64">
        <v>63.221</v>
      </c>
    </row>
    <row r="520" spans="1:62" ht="12.75">
      <c r="A520" s="5" t="s">
        <v>204</v>
      </c>
      <c r="B520" s="5" t="s">
        <v>368</v>
      </c>
      <c r="C520" s="99" t="s">
        <v>633</v>
      </c>
      <c r="D520" s="100"/>
      <c r="E520" s="100"/>
      <c r="F520" s="5" t="s">
        <v>984</v>
      </c>
      <c r="G520" s="63">
        <v>63.221</v>
      </c>
      <c r="H520" s="18">
        <v>0</v>
      </c>
      <c r="I520" s="18">
        <f>G520*AO520</f>
        <v>0</v>
      </c>
      <c r="J520" s="18">
        <f>G520*AP520</f>
        <v>0</v>
      </c>
      <c r="K520" s="18">
        <f>G520*H520</f>
        <v>0</v>
      </c>
      <c r="L520" s="29"/>
      <c r="Z520" s="34">
        <f>IF(AQ520="5",BJ520,0)</f>
        <v>0</v>
      </c>
      <c r="AB520" s="34">
        <f>IF(AQ520="1",BH520,0)</f>
        <v>0</v>
      </c>
      <c r="AC520" s="34">
        <f>IF(AQ520="1",BI520,0)</f>
        <v>0</v>
      </c>
      <c r="AD520" s="34">
        <f>IF(AQ520="7",BH520,0)</f>
        <v>0</v>
      </c>
      <c r="AE520" s="34">
        <f>IF(AQ520="7",BI520,0)</f>
        <v>0</v>
      </c>
      <c r="AF520" s="34">
        <f>IF(AQ520="2",BH520,0)</f>
        <v>0</v>
      </c>
      <c r="AG520" s="34">
        <f>IF(AQ520="2",BI520,0)</f>
        <v>0</v>
      </c>
      <c r="AH520" s="34">
        <f>IF(AQ520="0",BJ520,0)</f>
        <v>0</v>
      </c>
      <c r="AI520" s="28" t="s">
        <v>1021</v>
      </c>
      <c r="AJ520" s="18">
        <f>IF(AN520=0,K520,0)</f>
        <v>0</v>
      </c>
      <c r="AK520" s="18">
        <f>IF(AN520=15,K520,0)</f>
        <v>0</v>
      </c>
      <c r="AL520" s="18">
        <f>IF(AN520=21,K520,0)</f>
        <v>0</v>
      </c>
      <c r="AN520" s="34">
        <v>21</v>
      </c>
      <c r="AO520" s="34">
        <f>H520*0</f>
        <v>0</v>
      </c>
      <c r="AP520" s="34">
        <f>H520*(1-0)</f>
        <v>0</v>
      </c>
      <c r="AQ520" s="29" t="s">
        <v>12</v>
      </c>
      <c r="AV520" s="34">
        <f>AW520+AX520</f>
        <v>0</v>
      </c>
      <c r="AW520" s="34">
        <f>G520*AO520</f>
        <v>0</v>
      </c>
      <c r="AX520" s="34">
        <f>G520*AP520</f>
        <v>0</v>
      </c>
      <c r="AY520" s="35" t="s">
        <v>1036</v>
      </c>
      <c r="AZ520" s="35" t="s">
        <v>1077</v>
      </c>
      <c r="BA520" s="28" t="s">
        <v>1086</v>
      </c>
      <c r="BC520" s="34">
        <f>AW520+AX520</f>
        <v>0</v>
      </c>
      <c r="BD520" s="34">
        <f>H520/(100-BE520)*100</f>
        <v>0</v>
      </c>
      <c r="BE520" s="34">
        <v>0</v>
      </c>
      <c r="BF520" s="34">
        <f>520</f>
        <v>520</v>
      </c>
      <c r="BH520" s="18">
        <f>G520*AO520</f>
        <v>0</v>
      </c>
      <c r="BI520" s="18">
        <f>G520*AP520</f>
        <v>0</v>
      </c>
      <c r="BJ520" s="18">
        <f>G520*H520</f>
        <v>0</v>
      </c>
    </row>
    <row r="521" spans="3:7" ht="12.75">
      <c r="C521" s="101" t="s">
        <v>872</v>
      </c>
      <c r="D521" s="102"/>
      <c r="E521" s="102"/>
      <c r="G521" s="64">
        <v>63.221</v>
      </c>
    </row>
    <row r="522" spans="1:62" ht="12.75">
      <c r="A522" s="5" t="s">
        <v>205</v>
      </c>
      <c r="B522" s="5" t="s">
        <v>369</v>
      </c>
      <c r="C522" s="99" t="s">
        <v>634</v>
      </c>
      <c r="D522" s="100"/>
      <c r="E522" s="100"/>
      <c r="F522" s="5" t="s">
        <v>984</v>
      </c>
      <c r="G522" s="63">
        <v>63.221</v>
      </c>
      <c r="H522" s="18">
        <v>0</v>
      </c>
      <c r="I522" s="18">
        <f>G522*AO522</f>
        <v>0</v>
      </c>
      <c r="J522" s="18">
        <f>G522*AP522</f>
        <v>0</v>
      </c>
      <c r="K522" s="18">
        <f>G522*H522</f>
        <v>0</v>
      </c>
      <c r="L522" s="29"/>
      <c r="Z522" s="34">
        <f>IF(AQ522="5",BJ522,0)</f>
        <v>0</v>
      </c>
      <c r="AB522" s="34">
        <f>IF(AQ522="1",BH522,0)</f>
        <v>0</v>
      </c>
      <c r="AC522" s="34">
        <f>IF(AQ522="1",BI522,0)</f>
        <v>0</v>
      </c>
      <c r="AD522" s="34">
        <f>IF(AQ522="7",BH522,0)</f>
        <v>0</v>
      </c>
      <c r="AE522" s="34">
        <f>IF(AQ522="7",BI522,0)</f>
        <v>0</v>
      </c>
      <c r="AF522" s="34">
        <f>IF(AQ522="2",BH522,0)</f>
        <v>0</v>
      </c>
      <c r="AG522" s="34">
        <f>IF(AQ522="2",BI522,0)</f>
        <v>0</v>
      </c>
      <c r="AH522" s="34">
        <f>IF(AQ522="0",BJ522,0)</f>
        <v>0</v>
      </c>
      <c r="AI522" s="28" t="s">
        <v>1021</v>
      </c>
      <c r="AJ522" s="18">
        <f>IF(AN522=0,K522,0)</f>
        <v>0</v>
      </c>
      <c r="AK522" s="18">
        <f>IF(AN522=15,K522,0)</f>
        <v>0</v>
      </c>
      <c r="AL522" s="18">
        <f>IF(AN522=21,K522,0)</f>
        <v>0</v>
      </c>
      <c r="AN522" s="34">
        <v>21</v>
      </c>
      <c r="AO522" s="34">
        <f>H522*0</f>
        <v>0</v>
      </c>
      <c r="AP522" s="34">
        <f>H522*(1-0)</f>
        <v>0</v>
      </c>
      <c r="AQ522" s="29" t="s">
        <v>12</v>
      </c>
      <c r="AV522" s="34">
        <f>AW522+AX522</f>
        <v>0</v>
      </c>
      <c r="AW522" s="34">
        <f>G522*AO522</f>
        <v>0</v>
      </c>
      <c r="AX522" s="34">
        <f>G522*AP522</f>
        <v>0</v>
      </c>
      <c r="AY522" s="35" t="s">
        <v>1036</v>
      </c>
      <c r="AZ522" s="35" t="s">
        <v>1077</v>
      </c>
      <c r="BA522" s="28" t="s">
        <v>1086</v>
      </c>
      <c r="BC522" s="34">
        <f>AW522+AX522</f>
        <v>0</v>
      </c>
      <c r="BD522" s="34">
        <f>H522/(100-BE522)*100</f>
        <v>0</v>
      </c>
      <c r="BE522" s="34">
        <v>0</v>
      </c>
      <c r="BF522" s="34">
        <f>522</f>
        <v>522</v>
      </c>
      <c r="BH522" s="18">
        <f>G522*AO522</f>
        <v>0</v>
      </c>
      <c r="BI522" s="18">
        <f>G522*AP522</f>
        <v>0</v>
      </c>
      <c r="BJ522" s="18">
        <f>G522*H522</f>
        <v>0</v>
      </c>
    </row>
    <row r="523" spans="3:7" ht="12.75">
      <c r="C523" s="101" t="s">
        <v>872</v>
      </c>
      <c r="D523" s="102"/>
      <c r="E523" s="102"/>
      <c r="G523" s="64">
        <v>63.221</v>
      </c>
    </row>
    <row r="524" spans="1:62" ht="12.75">
      <c r="A524" s="6" t="s">
        <v>206</v>
      </c>
      <c r="B524" s="6" t="s">
        <v>370</v>
      </c>
      <c r="C524" s="103" t="s">
        <v>635</v>
      </c>
      <c r="D524" s="104"/>
      <c r="E524" s="104"/>
      <c r="F524" s="6" t="s">
        <v>984</v>
      </c>
      <c r="G524" s="65">
        <v>139.086</v>
      </c>
      <c r="H524" s="19">
        <v>0</v>
      </c>
      <c r="I524" s="19">
        <f>G524*AO524</f>
        <v>0</v>
      </c>
      <c r="J524" s="19">
        <f>G524*AP524</f>
        <v>0</v>
      </c>
      <c r="K524" s="19">
        <f>G524*H524</f>
        <v>0</v>
      </c>
      <c r="L524" s="30"/>
      <c r="Z524" s="34">
        <f>IF(AQ524="5",BJ524,0)</f>
        <v>0</v>
      </c>
      <c r="AB524" s="34">
        <f>IF(AQ524="1",BH524,0)</f>
        <v>0</v>
      </c>
      <c r="AC524" s="34">
        <f>IF(AQ524="1",BI524,0)</f>
        <v>0</v>
      </c>
      <c r="AD524" s="34">
        <f>IF(AQ524="7",BH524,0)</f>
        <v>0</v>
      </c>
      <c r="AE524" s="34">
        <f>IF(AQ524="7",BI524,0)</f>
        <v>0</v>
      </c>
      <c r="AF524" s="34">
        <f>IF(AQ524="2",BH524,0)</f>
        <v>0</v>
      </c>
      <c r="AG524" s="34">
        <f>IF(AQ524="2",BI524,0)</f>
        <v>0</v>
      </c>
      <c r="AH524" s="34">
        <f>IF(AQ524="0",BJ524,0)</f>
        <v>0</v>
      </c>
      <c r="AI524" s="28" t="s">
        <v>1021</v>
      </c>
      <c r="AJ524" s="19">
        <f>IF(AN524=0,K524,0)</f>
        <v>0</v>
      </c>
      <c r="AK524" s="19">
        <f>IF(AN524=15,K524,0)</f>
        <v>0</v>
      </c>
      <c r="AL524" s="19">
        <f>IF(AN524=21,K524,0)</f>
        <v>0</v>
      </c>
      <c r="AN524" s="34">
        <v>21</v>
      </c>
      <c r="AO524" s="34">
        <f>H524*1</f>
        <v>0</v>
      </c>
      <c r="AP524" s="34">
        <f>H524*(1-1)</f>
        <v>0</v>
      </c>
      <c r="AQ524" s="30" t="s">
        <v>12</v>
      </c>
      <c r="AV524" s="34">
        <f>AW524+AX524</f>
        <v>0</v>
      </c>
      <c r="AW524" s="34">
        <f>G524*AO524</f>
        <v>0</v>
      </c>
      <c r="AX524" s="34">
        <f>G524*AP524</f>
        <v>0</v>
      </c>
      <c r="AY524" s="35" t="s">
        <v>1036</v>
      </c>
      <c r="AZ524" s="35" t="s">
        <v>1077</v>
      </c>
      <c r="BA524" s="28" t="s">
        <v>1086</v>
      </c>
      <c r="BC524" s="34">
        <f>AW524+AX524</f>
        <v>0</v>
      </c>
      <c r="BD524" s="34">
        <f>H524/(100-BE524)*100</f>
        <v>0</v>
      </c>
      <c r="BE524" s="34">
        <v>0</v>
      </c>
      <c r="BF524" s="34">
        <f>524</f>
        <v>524</v>
      </c>
      <c r="BH524" s="19">
        <f>G524*AO524</f>
        <v>0</v>
      </c>
      <c r="BI524" s="19">
        <f>G524*AP524</f>
        <v>0</v>
      </c>
      <c r="BJ524" s="19">
        <f>G524*H524</f>
        <v>0</v>
      </c>
    </row>
    <row r="525" spans="3:7" ht="12.75">
      <c r="C525" s="101" t="s">
        <v>880</v>
      </c>
      <c r="D525" s="102"/>
      <c r="E525" s="102"/>
      <c r="G525" s="64">
        <v>126.442</v>
      </c>
    </row>
    <row r="526" spans="3:7" ht="12.75">
      <c r="C526" s="101" t="s">
        <v>881</v>
      </c>
      <c r="D526" s="102"/>
      <c r="E526" s="102"/>
      <c r="G526" s="64">
        <v>12.644</v>
      </c>
    </row>
    <row r="527" spans="1:62" ht="12.75">
      <c r="A527" s="5" t="s">
        <v>207</v>
      </c>
      <c r="B527" s="5" t="s">
        <v>371</v>
      </c>
      <c r="C527" s="99" t="s">
        <v>638</v>
      </c>
      <c r="D527" s="100"/>
      <c r="E527" s="100"/>
      <c r="F527" s="5" t="s">
        <v>987</v>
      </c>
      <c r="G527" s="63">
        <v>0.161</v>
      </c>
      <c r="H527" s="18">
        <v>0</v>
      </c>
      <c r="I527" s="18">
        <f>G527*AO527</f>
        <v>0</v>
      </c>
      <c r="J527" s="18">
        <f>G527*AP527</f>
        <v>0</v>
      </c>
      <c r="K527" s="18">
        <f>G527*H527</f>
        <v>0</v>
      </c>
      <c r="L527" s="29"/>
      <c r="Z527" s="34">
        <f>IF(AQ527="5",BJ527,0)</f>
        <v>0</v>
      </c>
      <c r="AB527" s="34">
        <f>IF(AQ527="1",BH527,0)</f>
        <v>0</v>
      </c>
      <c r="AC527" s="34">
        <f>IF(AQ527="1",BI527,0)</f>
        <v>0</v>
      </c>
      <c r="AD527" s="34">
        <f>IF(AQ527="7",BH527,0)</f>
        <v>0</v>
      </c>
      <c r="AE527" s="34">
        <f>IF(AQ527="7",BI527,0)</f>
        <v>0</v>
      </c>
      <c r="AF527" s="34">
        <f>IF(AQ527="2",BH527,0)</f>
        <v>0</v>
      </c>
      <c r="AG527" s="34">
        <f>IF(AQ527="2",BI527,0)</f>
        <v>0</v>
      </c>
      <c r="AH527" s="34">
        <f>IF(AQ527="0",BJ527,0)</f>
        <v>0</v>
      </c>
      <c r="AI527" s="28" t="s">
        <v>1021</v>
      </c>
      <c r="AJ527" s="18">
        <f>IF(AN527=0,K527,0)</f>
        <v>0</v>
      </c>
      <c r="AK527" s="18">
        <f>IF(AN527=15,K527,0)</f>
        <v>0</v>
      </c>
      <c r="AL527" s="18">
        <f>IF(AN527=21,K527,0)</f>
        <v>0</v>
      </c>
      <c r="AN527" s="34">
        <v>21</v>
      </c>
      <c r="AO527" s="34">
        <f>H527*0</f>
        <v>0</v>
      </c>
      <c r="AP527" s="34">
        <f>H527*(1-0)</f>
        <v>0</v>
      </c>
      <c r="AQ527" s="29" t="s">
        <v>10</v>
      </c>
      <c r="AV527" s="34">
        <f>AW527+AX527</f>
        <v>0</v>
      </c>
      <c r="AW527" s="34">
        <f>G527*AO527</f>
        <v>0</v>
      </c>
      <c r="AX527" s="34">
        <f>G527*AP527</f>
        <v>0</v>
      </c>
      <c r="AY527" s="35" t="s">
        <v>1036</v>
      </c>
      <c r="AZ527" s="35" t="s">
        <v>1077</v>
      </c>
      <c r="BA527" s="28" t="s">
        <v>1086</v>
      </c>
      <c r="BC527" s="34">
        <f>AW527+AX527</f>
        <v>0</v>
      </c>
      <c r="BD527" s="34">
        <f>H527/(100-BE527)*100</f>
        <v>0</v>
      </c>
      <c r="BE527" s="34">
        <v>0</v>
      </c>
      <c r="BF527" s="34">
        <f>527</f>
        <v>527</v>
      </c>
      <c r="BH527" s="18">
        <f>G527*AO527</f>
        <v>0</v>
      </c>
      <c r="BI527" s="18">
        <f>G527*AP527</f>
        <v>0</v>
      </c>
      <c r="BJ527" s="18">
        <f>G527*H527</f>
        <v>0</v>
      </c>
    </row>
    <row r="528" spans="3:7" ht="12.75">
      <c r="C528" s="101" t="s">
        <v>882</v>
      </c>
      <c r="D528" s="102"/>
      <c r="E528" s="102"/>
      <c r="G528" s="64">
        <v>0.161</v>
      </c>
    </row>
    <row r="529" spans="1:47" ht="12.75">
      <c r="A529" s="4"/>
      <c r="B529" s="14" t="s">
        <v>372</v>
      </c>
      <c r="C529" s="97" t="s">
        <v>640</v>
      </c>
      <c r="D529" s="98"/>
      <c r="E529" s="98"/>
      <c r="F529" s="4" t="s">
        <v>5</v>
      </c>
      <c r="G529" s="4" t="s">
        <v>5</v>
      </c>
      <c r="H529" s="4" t="s">
        <v>5</v>
      </c>
      <c r="I529" s="37">
        <f>SUM(I530:I542)</f>
        <v>0</v>
      </c>
      <c r="J529" s="37">
        <f>SUM(J530:J542)</f>
        <v>0</v>
      </c>
      <c r="K529" s="37">
        <f>SUM(K530:K542)</f>
        <v>0</v>
      </c>
      <c r="L529" s="28"/>
      <c r="AI529" s="28" t="s">
        <v>1021</v>
      </c>
      <c r="AS529" s="37">
        <f>SUM(AJ530:AJ542)</f>
        <v>0</v>
      </c>
      <c r="AT529" s="37">
        <f>SUM(AK530:AK542)</f>
        <v>0</v>
      </c>
      <c r="AU529" s="37">
        <f>SUM(AL530:AL542)</f>
        <v>0</v>
      </c>
    </row>
    <row r="530" spans="1:62" ht="12.75">
      <c r="A530" s="5" t="s">
        <v>208</v>
      </c>
      <c r="B530" s="5" t="s">
        <v>373</v>
      </c>
      <c r="C530" s="99" t="s">
        <v>641</v>
      </c>
      <c r="D530" s="100"/>
      <c r="E530" s="100"/>
      <c r="F530" s="5" t="s">
        <v>984</v>
      </c>
      <c r="G530" s="63">
        <v>4.567</v>
      </c>
      <c r="H530" s="18">
        <v>0</v>
      </c>
      <c r="I530" s="18">
        <f>G530*AO530</f>
        <v>0</v>
      </c>
      <c r="J530" s="18">
        <f>G530*AP530</f>
        <v>0</v>
      </c>
      <c r="K530" s="18">
        <f>G530*H530</f>
        <v>0</v>
      </c>
      <c r="L530" s="29"/>
      <c r="Z530" s="34">
        <f>IF(AQ530="5",BJ530,0)</f>
        <v>0</v>
      </c>
      <c r="AB530" s="34">
        <f>IF(AQ530="1",BH530,0)</f>
        <v>0</v>
      </c>
      <c r="AC530" s="34">
        <f>IF(AQ530="1",BI530,0)</f>
        <v>0</v>
      </c>
      <c r="AD530" s="34">
        <f>IF(AQ530="7",BH530,0)</f>
        <v>0</v>
      </c>
      <c r="AE530" s="34">
        <f>IF(AQ530="7",BI530,0)</f>
        <v>0</v>
      </c>
      <c r="AF530" s="34">
        <f>IF(AQ530="2",BH530,0)</f>
        <v>0</v>
      </c>
      <c r="AG530" s="34">
        <f>IF(AQ530="2",BI530,0)</f>
        <v>0</v>
      </c>
      <c r="AH530" s="34">
        <f>IF(AQ530="0",BJ530,0)</f>
        <v>0</v>
      </c>
      <c r="AI530" s="28" t="s">
        <v>1021</v>
      </c>
      <c r="AJ530" s="18">
        <f>IF(AN530=0,K530,0)</f>
        <v>0</v>
      </c>
      <c r="AK530" s="18">
        <f>IF(AN530=15,K530,0)</f>
        <v>0</v>
      </c>
      <c r="AL530" s="18">
        <f>IF(AN530=21,K530,0)</f>
        <v>0</v>
      </c>
      <c r="AN530" s="34">
        <v>21</v>
      </c>
      <c r="AO530" s="34">
        <f>H530*0.542274691937016</f>
        <v>0</v>
      </c>
      <c r="AP530" s="34">
        <f>H530*(1-0.542274691937016)</f>
        <v>0</v>
      </c>
      <c r="AQ530" s="29" t="s">
        <v>12</v>
      </c>
      <c r="AV530" s="34">
        <f>AW530+AX530</f>
        <v>0</v>
      </c>
      <c r="AW530" s="34">
        <f>G530*AO530</f>
        <v>0</v>
      </c>
      <c r="AX530" s="34">
        <f>G530*AP530</f>
        <v>0</v>
      </c>
      <c r="AY530" s="35" t="s">
        <v>1037</v>
      </c>
      <c r="AZ530" s="35" t="s">
        <v>1077</v>
      </c>
      <c r="BA530" s="28" t="s">
        <v>1086</v>
      </c>
      <c r="BC530" s="34">
        <f>AW530+AX530</f>
        <v>0</v>
      </c>
      <c r="BD530" s="34">
        <f>H530/(100-BE530)*100</f>
        <v>0</v>
      </c>
      <c r="BE530" s="34">
        <v>0</v>
      </c>
      <c r="BF530" s="34">
        <f>530</f>
        <v>530</v>
      </c>
      <c r="BH530" s="18">
        <f>G530*AO530</f>
        <v>0</v>
      </c>
      <c r="BI530" s="18">
        <f>G530*AP530</f>
        <v>0</v>
      </c>
      <c r="BJ530" s="18">
        <f>G530*H530</f>
        <v>0</v>
      </c>
    </row>
    <row r="531" spans="3:7" ht="12.75">
      <c r="C531" s="101" t="s">
        <v>642</v>
      </c>
      <c r="D531" s="102"/>
      <c r="E531" s="102"/>
      <c r="G531" s="64">
        <v>4.567</v>
      </c>
    </row>
    <row r="532" spans="1:62" ht="12.75">
      <c r="A532" s="5" t="s">
        <v>209</v>
      </c>
      <c r="B532" s="5" t="s">
        <v>374</v>
      </c>
      <c r="C532" s="99" t="s">
        <v>643</v>
      </c>
      <c r="D532" s="100"/>
      <c r="E532" s="100"/>
      <c r="F532" s="5" t="s">
        <v>984</v>
      </c>
      <c r="G532" s="63">
        <v>4.567</v>
      </c>
      <c r="H532" s="18">
        <v>0</v>
      </c>
      <c r="I532" s="18">
        <f>G532*AO532</f>
        <v>0</v>
      </c>
      <c r="J532" s="18">
        <f>G532*AP532</f>
        <v>0</v>
      </c>
      <c r="K532" s="18">
        <f>G532*H532</f>
        <v>0</v>
      </c>
      <c r="L532" s="29"/>
      <c r="Z532" s="34">
        <f>IF(AQ532="5",BJ532,0)</f>
        <v>0</v>
      </c>
      <c r="AB532" s="34">
        <f>IF(AQ532="1",BH532,0)</f>
        <v>0</v>
      </c>
      <c r="AC532" s="34">
        <f>IF(AQ532="1",BI532,0)</f>
        <v>0</v>
      </c>
      <c r="AD532" s="34">
        <f>IF(AQ532="7",BH532,0)</f>
        <v>0</v>
      </c>
      <c r="AE532" s="34">
        <f>IF(AQ532="7",BI532,0)</f>
        <v>0</v>
      </c>
      <c r="AF532" s="34">
        <f>IF(AQ532="2",BH532,0)</f>
        <v>0</v>
      </c>
      <c r="AG532" s="34">
        <f>IF(AQ532="2",BI532,0)</f>
        <v>0</v>
      </c>
      <c r="AH532" s="34">
        <f>IF(AQ532="0",BJ532,0)</f>
        <v>0</v>
      </c>
      <c r="AI532" s="28" t="s">
        <v>1021</v>
      </c>
      <c r="AJ532" s="18">
        <f>IF(AN532=0,K532,0)</f>
        <v>0</v>
      </c>
      <c r="AK532" s="18">
        <f>IF(AN532=15,K532,0)</f>
        <v>0</v>
      </c>
      <c r="AL532" s="18">
        <f>IF(AN532=21,K532,0)</f>
        <v>0</v>
      </c>
      <c r="AN532" s="34">
        <v>21</v>
      </c>
      <c r="AO532" s="34">
        <f>H532*0</f>
        <v>0</v>
      </c>
      <c r="AP532" s="34">
        <f>H532*(1-0)</f>
        <v>0</v>
      </c>
      <c r="AQ532" s="29" t="s">
        <v>12</v>
      </c>
      <c r="AV532" s="34">
        <f>AW532+AX532</f>
        <v>0</v>
      </c>
      <c r="AW532" s="34">
        <f>G532*AO532</f>
        <v>0</v>
      </c>
      <c r="AX532" s="34">
        <f>G532*AP532</f>
        <v>0</v>
      </c>
      <c r="AY532" s="35" t="s">
        <v>1037</v>
      </c>
      <c r="AZ532" s="35" t="s">
        <v>1077</v>
      </c>
      <c r="BA532" s="28" t="s">
        <v>1086</v>
      </c>
      <c r="BC532" s="34">
        <f>AW532+AX532</f>
        <v>0</v>
      </c>
      <c r="BD532" s="34">
        <f>H532/(100-BE532)*100</f>
        <v>0</v>
      </c>
      <c r="BE532" s="34">
        <v>0</v>
      </c>
      <c r="BF532" s="34">
        <f>532</f>
        <v>532</v>
      </c>
      <c r="BH532" s="18">
        <f>G532*AO532</f>
        <v>0</v>
      </c>
      <c r="BI532" s="18">
        <f>G532*AP532</f>
        <v>0</v>
      </c>
      <c r="BJ532" s="18">
        <f>G532*H532</f>
        <v>0</v>
      </c>
    </row>
    <row r="533" spans="3:7" ht="12.75">
      <c r="C533" s="101" t="s">
        <v>642</v>
      </c>
      <c r="D533" s="102"/>
      <c r="E533" s="102"/>
      <c r="G533" s="64">
        <v>4.567</v>
      </c>
    </row>
    <row r="534" spans="1:62" ht="12.75">
      <c r="A534" s="5" t="s">
        <v>210</v>
      </c>
      <c r="B534" s="5" t="s">
        <v>375</v>
      </c>
      <c r="C534" s="99" t="s">
        <v>644</v>
      </c>
      <c r="D534" s="100"/>
      <c r="E534" s="100"/>
      <c r="F534" s="5" t="s">
        <v>986</v>
      </c>
      <c r="G534" s="63">
        <v>10.5</v>
      </c>
      <c r="H534" s="18">
        <v>0</v>
      </c>
      <c r="I534" s="18">
        <f>G534*AO534</f>
        <v>0</v>
      </c>
      <c r="J534" s="18">
        <f>G534*AP534</f>
        <v>0</v>
      </c>
      <c r="K534" s="18">
        <f>G534*H534</f>
        <v>0</v>
      </c>
      <c r="L534" s="29"/>
      <c r="Z534" s="34">
        <f>IF(AQ534="5",BJ534,0)</f>
        <v>0</v>
      </c>
      <c r="AB534" s="34">
        <f>IF(AQ534="1",BH534,0)</f>
        <v>0</v>
      </c>
      <c r="AC534" s="34">
        <f>IF(AQ534="1",BI534,0)</f>
        <v>0</v>
      </c>
      <c r="AD534" s="34">
        <f>IF(AQ534="7",BH534,0)</f>
        <v>0</v>
      </c>
      <c r="AE534" s="34">
        <f>IF(AQ534="7",BI534,0)</f>
        <v>0</v>
      </c>
      <c r="AF534" s="34">
        <f>IF(AQ534="2",BH534,0)</f>
        <v>0</v>
      </c>
      <c r="AG534" s="34">
        <f>IF(AQ534="2",BI534,0)</f>
        <v>0</v>
      </c>
      <c r="AH534" s="34">
        <f>IF(AQ534="0",BJ534,0)</f>
        <v>0</v>
      </c>
      <c r="AI534" s="28" t="s">
        <v>1021</v>
      </c>
      <c r="AJ534" s="18">
        <f>IF(AN534=0,K534,0)</f>
        <v>0</v>
      </c>
      <c r="AK534" s="18">
        <f>IF(AN534=15,K534,0)</f>
        <v>0</v>
      </c>
      <c r="AL534" s="18">
        <f>IF(AN534=21,K534,0)</f>
        <v>0</v>
      </c>
      <c r="AN534" s="34">
        <v>21</v>
      </c>
      <c r="AO534" s="34">
        <f>H534*0.509217758985201</f>
        <v>0</v>
      </c>
      <c r="AP534" s="34">
        <f>H534*(1-0.509217758985201)</f>
        <v>0</v>
      </c>
      <c r="AQ534" s="29" t="s">
        <v>12</v>
      </c>
      <c r="AV534" s="34">
        <f>AW534+AX534</f>
        <v>0</v>
      </c>
      <c r="AW534" s="34">
        <f>G534*AO534</f>
        <v>0</v>
      </c>
      <c r="AX534" s="34">
        <f>G534*AP534</f>
        <v>0</v>
      </c>
      <c r="AY534" s="35" t="s">
        <v>1037</v>
      </c>
      <c r="AZ534" s="35" t="s">
        <v>1077</v>
      </c>
      <c r="BA534" s="28" t="s">
        <v>1086</v>
      </c>
      <c r="BC534" s="34">
        <f>AW534+AX534</f>
        <v>0</v>
      </c>
      <c r="BD534" s="34">
        <f>H534/(100-BE534)*100</f>
        <v>0</v>
      </c>
      <c r="BE534" s="34">
        <v>0</v>
      </c>
      <c r="BF534" s="34">
        <f>534</f>
        <v>534</v>
      </c>
      <c r="BH534" s="18">
        <f>G534*AO534</f>
        <v>0</v>
      </c>
      <c r="BI534" s="18">
        <f>G534*AP534</f>
        <v>0</v>
      </c>
      <c r="BJ534" s="18">
        <f>G534*H534</f>
        <v>0</v>
      </c>
    </row>
    <row r="535" spans="3:7" ht="12.75">
      <c r="C535" s="101" t="s">
        <v>645</v>
      </c>
      <c r="D535" s="102"/>
      <c r="E535" s="102"/>
      <c r="G535" s="64">
        <v>10.5</v>
      </c>
    </row>
    <row r="536" spans="1:62" ht="12.75">
      <c r="A536" s="5" t="s">
        <v>211</v>
      </c>
      <c r="B536" s="5" t="s">
        <v>376</v>
      </c>
      <c r="C536" s="99" t="s">
        <v>646</v>
      </c>
      <c r="D536" s="100"/>
      <c r="E536" s="100"/>
      <c r="F536" s="5" t="s">
        <v>986</v>
      </c>
      <c r="G536" s="63">
        <v>10.5</v>
      </c>
      <c r="H536" s="18">
        <v>0</v>
      </c>
      <c r="I536" s="18">
        <f>G536*AO536</f>
        <v>0</v>
      </c>
      <c r="J536" s="18">
        <f>G536*AP536</f>
        <v>0</v>
      </c>
      <c r="K536" s="18">
        <f>G536*H536</f>
        <v>0</v>
      </c>
      <c r="L536" s="29"/>
      <c r="Z536" s="34">
        <f>IF(AQ536="5",BJ536,0)</f>
        <v>0</v>
      </c>
      <c r="AB536" s="34">
        <f>IF(AQ536="1",BH536,0)</f>
        <v>0</v>
      </c>
      <c r="AC536" s="34">
        <f>IF(AQ536="1",BI536,0)</f>
        <v>0</v>
      </c>
      <c r="AD536" s="34">
        <f>IF(AQ536="7",BH536,0)</f>
        <v>0</v>
      </c>
      <c r="AE536" s="34">
        <f>IF(AQ536="7",BI536,0)</f>
        <v>0</v>
      </c>
      <c r="AF536" s="34">
        <f>IF(AQ536="2",BH536,0)</f>
        <v>0</v>
      </c>
      <c r="AG536" s="34">
        <f>IF(AQ536="2",BI536,0)</f>
        <v>0</v>
      </c>
      <c r="AH536" s="34">
        <f>IF(AQ536="0",BJ536,0)</f>
        <v>0</v>
      </c>
      <c r="AI536" s="28" t="s">
        <v>1021</v>
      </c>
      <c r="AJ536" s="18">
        <f>IF(AN536=0,K536,0)</f>
        <v>0</v>
      </c>
      <c r="AK536" s="18">
        <f>IF(AN536=15,K536,0)</f>
        <v>0</v>
      </c>
      <c r="AL536" s="18">
        <f>IF(AN536=21,K536,0)</f>
        <v>0</v>
      </c>
      <c r="AN536" s="34">
        <v>21</v>
      </c>
      <c r="AO536" s="34">
        <f>H536*0.336584362139918</f>
        <v>0</v>
      </c>
      <c r="AP536" s="34">
        <f>H536*(1-0.336584362139918)</f>
        <v>0</v>
      </c>
      <c r="AQ536" s="29" t="s">
        <v>12</v>
      </c>
      <c r="AV536" s="34">
        <f>AW536+AX536</f>
        <v>0</v>
      </c>
      <c r="AW536" s="34">
        <f>G536*AO536</f>
        <v>0</v>
      </c>
      <c r="AX536" s="34">
        <f>G536*AP536</f>
        <v>0</v>
      </c>
      <c r="AY536" s="35" t="s">
        <v>1037</v>
      </c>
      <c r="AZ536" s="35" t="s">
        <v>1077</v>
      </c>
      <c r="BA536" s="28" t="s">
        <v>1086</v>
      </c>
      <c r="BC536" s="34">
        <f>AW536+AX536</f>
        <v>0</v>
      </c>
      <c r="BD536" s="34">
        <f>H536/(100-BE536)*100</f>
        <v>0</v>
      </c>
      <c r="BE536" s="34">
        <v>0</v>
      </c>
      <c r="BF536" s="34">
        <f>536</f>
        <v>536</v>
      </c>
      <c r="BH536" s="18">
        <f>G536*AO536</f>
        <v>0</v>
      </c>
      <c r="BI536" s="18">
        <f>G536*AP536</f>
        <v>0</v>
      </c>
      <c r="BJ536" s="18">
        <f>G536*H536</f>
        <v>0</v>
      </c>
    </row>
    <row r="537" spans="3:7" ht="12.75">
      <c r="C537" s="101" t="s">
        <v>645</v>
      </c>
      <c r="D537" s="102"/>
      <c r="E537" s="102"/>
      <c r="G537" s="64">
        <v>10.5</v>
      </c>
    </row>
    <row r="538" spans="1:62" ht="12.75">
      <c r="A538" s="5" t="s">
        <v>212</v>
      </c>
      <c r="B538" s="5" t="s">
        <v>377</v>
      </c>
      <c r="C538" s="99" t="s">
        <v>647</v>
      </c>
      <c r="D538" s="100"/>
      <c r="E538" s="100"/>
      <c r="F538" s="5" t="s">
        <v>984</v>
      </c>
      <c r="G538" s="63">
        <v>6.228</v>
      </c>
      <c r="H538" s="18">
        <v>0</v>
      </c>
      <c r="I538" s="18">
        <f>G538*AO538</f>
        <v>0</v>
      </c>
      <c r="J538" s="18">
        <f>G538*AP538</f>
        <v>0</v>
      </c>
      <c r="K538" s="18">
        <f>G538*H538</f>
        <v>0</v>
      </c>
      <c r="L538" s="29"/>
      <c r="Z538" s="34">
        <f>IF(AQ538="5",BJ538,0)</f>
        <v>0</v>
      </c>
      <c r="AB538" s="34">
        <f>IF(AQ538="1",BH538,0)</f>
        <v>0</v>
      </c>
      <c r="AC538" s="34">
        <f>IF(AQ538="1",BI538,0)</f>
        <v>0</v>
      </c>
      <c r="AD538" s="34">
        <f>IF(AQ538="7",BH538,0)</f>
        <v>0</v>
      </c>
      <c r="AE538" s="34">
        <f>IF(AQ538="7",BI538,0)</f>
        <v>0</v>
      </c>
      <c r="AF538" s="34">
        <f>IF(AQ538="2",BH538,0)</f>
        <v>0</v>
      </c>
      <c r="AG538" s="34">
        <f>IF(AQ538="2",BI538,0)</f>
        <v>0</v>
      </c>
      <c r="AH538" s="34">
        <f>IF(AQ538="0",BJ538,0)</f>
        <v>0</v>
      </c>
      <c r="AI538" s="28" t="s">
        <v>1021</v>
      </c>
      <c r="AJ538" s="18">
        <f>IF(AN538=0,K538,0)</f>
        <v>0</v>
      </c>
      <c r="AK538" s="18">
        <f>IF(AN538=15,K538,0)</f>
        <v>0</v>
      </c>
      <c r="AL538" s="18">
        <f>IF(AN538=21,K538,0)</f>
        <v>0</v>
      </c>
      <c r="AN538" s="34">
        <v>21</v>
      </c>
      <c r="AO538" s="34">
        <f>H538*0</f>
        <v>0</v>
      </c>
      <c r="AP538" s="34">
        <f>H538*(1-0)</f>
        <v>0</v>
      </c>
      <c r="AQ538" s="29" t="s">
        <v>12</v>
      </c>
      <c r="AV538" s="34">
        <f>AW538+AX538</f>
        <v>0</v>
      </c>
      <c r="AW538" s="34">
        <f>G538*AO538</f>
        <v>0</v>
      </c>
      <c r="AX538" s="34">
        <f>G538*AP538</f>
        <v>0</v>
      </c>
      <c r="AY538" s="35" t="s">
        <v>1037</v>
      </c>
      <c r="AZ538" s="35" t="s">
        <v>1077</v>
      </c>
      <c r="BA538" s="28" t="s">
        <v>1086</v>
      </c>
      <c r="BC538" s="34">
        <f>AW538+AX538</f>
        <v>0</v>
      </c>
      <c r="BD538" s="34">
        <f>H538/(100-BE538)*100</f>
        <v>0</v>
      </c>
      <c r="BE538" s="34">
        <v>0</v>
      </c>
      <c r="BF538" s="34">
        <f>538</f>
        <v>538</v>
      </c>
      <c r="BH538" s="18">
        <f>G538*AO538</f>
        <v>0</v>
      </c>
      <c r="BI538" s="18">
        <f>G538*AP538</f>
        <v>0</v>
      </c>
      <c r="BJ538" s="18">
        <f>G538*H538</f>
        <v>0</v>
      </c>
    </row>
    <row r="539" spans="3:7" ht="12.75">
      <c r="C539" s="101" t="s">
        <v>648</v>
      </c>
      <c r="D539" s="102"/>
      <c r="E539" s="102"/>
      <c r="G539" s="64">
        <v>6.228</v>
      </c>
    </row>
    <row r="540" spans="1:62" ht="12.75">
      <c r="A540" s="5" t="s">
        <v>213</v>
      </c>
      <c r="B540" s="5" t="s">
        <v>378</v>
      </c>
      <c r="C540" s="99" t="s">
        <v>649</v>
      </c>
      <c r="D540" s="100"/>
      <c r="E540" s="100"/>
      <c r="F540" s="5" t="s">
        <v>984</v>
      </c>
      <c r="G540" s="63">
        <v>6.228</v>
      </c>
      <c r="H540" s="18">
        <v>0</v>
      </c>
      <c r="I540" s="18">
        <f>G540*AO540</f>
        <v>0</v>
      </c>
      <c r="J540" s="18">
        <f>G540*AP540</f>
        <v>0</v>
      </c>
      <c r="K540" s="18">
        <f>G540*H540</f>
        <v>0</v>
      </c>
      <c r="L540" s="29"/>
      <c r="Z540" s="34">
        <f>IF(AQ540="5",BJ540,0)</f>
        <v>0</v>
      </c>
      <c r="AB540" s="34">
        <f>IF(AQ540="1",BH540,0)</f>
        <v>0</v>
      </c>
      <c r="AC540" s="34">
        <f>IF(AQ540="1",BI540,0)</f>
        <v>0</v>
      </c>
      <c r="AD540" s="34">
        <f>IF(AQ540="7",BH540,0)</f>
        <v>0</v>
      </c>
      <c r="AE540" s="34">
        <f>IF(AQ540="7",BI540,0)</f>
        <v>0</v>
      </c>
      <c r="AF540" s="34">
        <f>IF(AQ540="2",BH540,0)</f>
        <v>0</v>
      </c>
      <c r="AG540" s="34">
        <f>IF(AQ540="2",BI540,0)</f>
        <v>0</v>
      </c>
      <c r="AH540" s="34">
        <f>IF(AQ540="0",BJ540,0)</f>
        <v>0</v>
      </c>
      <c r="AI540" s="28" t="s">
        <v>1021</v>
      </c>
      <c r="AJ540" s="18">
        <f>IF(AN540=0,K540,0)</f>
        <v>0</v>
      </c>
      <c r="AK540" s="18">
        <f>IF(AN540=15,K540,0)</f>
        <v>0</v>
      </c>
      <c r="AL540" s="18">
        <f>IF(AN540=21,K540,0)</f>
        <v>0</v>
      </c>
      <c r="AN540" s="34">
        <v>21</v>
      </c>
      <c r="AO540" s="34">
        <f>H540*0</f>
        <v>0</v>
      </c>
      <c r="AP540" s="34">
        <f>H540*(1-0)</f>
        <v>0</v>
      </c>
      <c r="AQ540" s="29" t="s">
        <v>12</v>
      </c>
      <c r="AV540" s="34">
        <f>AW540+AX540</f>
        <v>0</v>
      </c>
      <c r="AW540" s="34">
        <f>G540*AO540</f>
        <v>0</v>
      </c>
      <c r="AX540" s="34">
        <f>G540*AP540</f>
        <v>0</v>
      </c>
      <c r="AY540" s="35" t="s">
        <v>1037</v>
      </c>
      <c r="AZ540" s="35" t="s">
        <v>1077</v>
      </c>
      <c r="BA540" s="28" t="s">
        <v>1086</v>
      </c>
      <c r="BC540" s="34">
        <f>AW540+AX540</f>
        <v>0</v>
      </c>
      <c r="BD540" s="34">
        <f>H540/(100-BE540)*100</f>
        <v>0</v>
      </c>
      <c r="BE540" s="34">
        <v>0</v>
      </c>
      <c r="BF540" s="34">
        <f>540</f>
        <v>540</v>
      </c>
      <c r="BH540" s="18">
        <f>G540*AO540</f>
        <v>0</v>
      </c>
      <c r="BI540" s="18">
        <f>G540*AP540</f>
        <v>0</v>
      </c>
      <c r="BJ540" s="18">
        <f>G540*H540</f>
        <v>0</v>
      </c>
    </row>
    <row r="541" spans="3:7" ht="12.75">
      <c r="C541" s="101" t="s">
        <v>648</v>
      </c>
      <c r="D541" s="102"/>
      <c r="E541" s="102"/>
      <c r="G541" s="64">
        <v>6.228</v>
      </c>
    </row>
    <row r="542" spans="1:62" ht="12.75">
      <c r="A542" s="5" t="s">
        <v>214</v>
      </c>
      <c r="B542" s="5" t="s">
        <v>379</v>
      </c>
      <c r="C542" s="99" t="s">
        <v>650</v>
      </c>
      <c r="D542" s="100"/>
      <c r="E542" s="100"/>
      <c r="F542" s="5" t="s">
        <v>987</v>
      </c>
      <c r="G542" s="63">
        <v>0.092</v>
      </c>
      <c r="H542" s="18">
        <v>0</v>
      </c>
      <c r="I542" s="18">
        <f>G542*AO542</f>
        <v>0</v>
      </c>
      <c r="J542" s="18">
        <f>G542*AP542</f>
        <v>0</v>
      </c>
      <c r="K542" s="18">
        <f>G542*H542</f>
        <v>0</v>
      </c>
      <c r="L542" s="29"/>
      <c r="Z542" s="34">
        <f>IF(AQ542="5",BJ542,0)</f>
        <v>0</v>
      </c>
      <c r="AB542" s="34">
        <f>IF(AQ542="1",BH542,0)</f>
        <v>0</v>
      </c>
      <c r="AC542" s="34">
        <f>IF(AQ542="1",BI542,0)</f>
        <v>0</v>
      </c>
      <c r="AD542" s="34">
        <f>IF(AQ542="7",BH542,0)</f>
        <v>0</v>
      </c>
      <c r="AE542" s="34">
        <f>IF(AQ542="7",BI542,0)</f>
        <v>0</v>
      </c>
      <c r="AF542" s="34">
        <f>IF(AQ542="2",BH542,0)</f>
        <v>0</v>
      </c>
      <c r="AG542" s="34">
        <f>IF(AQ542="2",BI542,0)</f>
        <v>0</v>
      </c>
      <c r="AH542" s="34">
        <f>IF(AQ542="0",BJ542,0)</f>
        <v>0</v>
      </c>
      <c r="AI542" s="28" t="s">
        <v>1021</v>
      </c>
      <c r="AJ542" s="18">
        <f>IF(AN542=0,K542,0)</f>
        <v>0</v>
      </c>
      <c r="AK542" s="18">
        <f>IF(AN542=15,K542,0)</f>
        <v>0</v>
      </c>
      <c r="AL542" s="18">
        <f>IF(AN542=21,K542,0)</f>
        <v>0</v>
      </c>
      <c r="AN542" s="34">
        <v>21</v>
      </c>
      <c r="AO542" s="34">
        <f>H542*0</f>
        <v>0</v>
      </c>
      <c r="AP542" s="34">
        <f>H542*(1-0)</f>
        <v>0</v>
      </c>
      <c r="AQ542" s="29" t="s">
        <v>10</v>
      </c>
      <c r="AV542" s="34">
        <f>AW542+AX542</f>
        <v>0</v>
      </c>
      <c r="AW542" s="34">
        <f>G542*AO542</f>
        <v>0</v>
      </c>
      <c r="AX542" s="34">
        <f>G542*AP542</f>
        <v>0</v>
      </c>
      <c r="AY542" s="35" t="s">
        <v>1037</v>
      </c>
      <c r="AZ542" s="35" t="s">
        <v>1077</v>
      </c>
      <c r="BA542" s="28" t="s">
        <v>1086</v>
      </c>
      <c r="BC542" s="34">
        <f>AW542+AX542</f>
        <v>0</v>
      </c>
      <c r="BD542" s="34">
        <f>H542/(100-BE542)*100</f>
        <v>0</v>
      </c>
      <c r="BE542" s="34">
        <v>0</v>
      </c>
      <c r="BF542" s="34">
        <f>542</f>
        <v>542</v>
      </c>
      <c r="BH542" s="18">
        <f>G542*AO542</f>
        <v>0</v>
      </c>
      <c r="BI542" s="18">
        <f>G542*AP542</f>
        <v>0</v>
      </c>
      <c r="BJ542" s="18">
        <f>G542*H542</f>
        <v>0</v>
      </c>
    </row>
    <row r="543" spans="3:7" ht="12.75">
      <c r="C543" s="101" t="s">
        <v>651</v>
      </c>
      <c r="D543" s="102"/>
      <c r="E543" s="102"/>
      <c r="G543" s="64">
        <v>0.092</v>
      </c>
    </row>
    <row r="544" spans="1:47" ht="12.75">
      <c r="A544" s="4"/>
      <c r="B544" s="14" t="s">
        <v>380</v>
      </c>
      <c r="C544" s="97" t="s">
        <v>652</v>
      </c>
      <c r="D544" s="98"/>
      <c r="E544" s="98"/>
      <c r="F544" s="4" t="s">
        <v>5</v>
      </c>
      <c r="G544" s="4" t="s">
        <v>5</v>
      </c>
      <c r="H544" s="4" t="s">
        <v>5</v>
      </c>
      <c r="I544" s="37">
        <f>SUM(I545:I552)</f>
        <v>0</v>
      </c>
      <c r="J544" s="37">
        <f>SUM(J545:J552)</f>
        <v>0</v>
      </c>
      <c r="K544" s="37">
        <f>SUM(K545:K552)</f>
        <v>0</v>
      </c>
      <c r="L544" s="28"/>
      <c r="AI544" s="28" t="s">
        <v>1021</v>
      </c>
      <c r="AS544" s="37">
        <f>SUM(AJ545:AJ552)</f>
        <v>0</v>
      </c>
      <c r="AT544" s="37">
        <f>SUM(AK545:AK552)</f>
        <v>0</v>
      </c>
      <c r="AU544" s="37">
        <f>SUM(AL545:AL552)</f>
        <v>0</v>
      </c>
    </row>
    <row r="545" spans="1:62" ht="12.75">
      <c r="A545" s="5" t="s">
        <v>215</v>
      </c>
      <c r="B545" s="5" t="s">
        <v>381</v>
      </c>
      <c r="C545" s="99" t="s">
        <v>653</v>
      </c>
      <c r="D545" s="100"/>
      <c r="E545" s="100"/>
      <c r="F545" s="5" t="s">
        <v>985</v>
      </c>
      <c r="G545" s="63">
        <v>58.261</v>
      </c>
      <c r="H545" s="18">
        <v>0</v>
      </c>
      <c r="I545" s="18">
        <f>G545*AO545</f>
        <v>0</v>
      </c>
      <c r="J545" s="18">
        <f>G545*AP545</f>
        <v>0</v>
      </c>
      <c r="K545" s="18">
        <f>G545*H545</f>
        <v>0</v>
      </c>
      <c r="L545" s="29"/>
      <c r="Z545" s="34">
        <f>IF(AQ545="5",BJ545,0)</f>
        <v>0</v>
      </c>
      <c r="AB545" s="34">
        <f>IF(AQ545="1",BH545,0)</f>
        <v>0</v>
      </c>
      <c r="AC545" s="34">
        <f>IF(AQ545="1",BI545,0)</f>
        <v>0</v>
      </c>
      <c r="AD545" s="34">
        <f>IF(AQ545="7",BH545,0)</f>
        <v>0</v>
      </c>
      <c r="AE545" s="34">
        <f>IF(AQ545="7",BI545,0)</f>
        <v>0</v>
      </c>
      <c r="AF545" s="34">
        <f>IF(AQ545="2",BH545,0)</f>
        <v>0</v>
      </c>
      <c r="AG545" s="34">
        <f>IF(AQ545="2",BI545,0)</f>
        <v>0</v>
      </c>
      <c r="AH545" s="34">
        <f>IF(AQ545="0",BJ545,0)</f>
        <v>0</v>
      </c>
      <c r="AI545" s="28" t="s">
        <v>1021</v>
      </c>
      <c r="AJ545" s="18">
        <f>IF(AN545=0,K545,0)</f>
        <v>0</v>
      </c>
      <c r="AK545" s="18">
        <f>IF(AN545=15,K545,0)</f>
        <v>0</v>
      </c>
      <c r="AL545" s="18">
        <f>IF(AN545=21,K545,0)</f>
        <v>0</v>
      </c>
      <c r="AN545" s="34">
        <v>21</v>
      </c>
      <c r="AO545" s="34">
        <f>H545*0.736931264634133</f>
        <v>0</v>
      </c>
      <c r="AP545" s="34">
        <f>H545*(1-0.736931264634133)</f>
        <v>0</v>
      </c>
      <c r="AQ545" s="29" t="s">
        <v>12</v>
      </c>
      <c r="AV545" s="34">
        <f>AW545+AX545</f>
        <v>0</v>
      </c>
      <c r="AW545" s="34">
        <f>G545*AO545</f>
        <v>0</v>
      </c>
      <c r="AX545" s="34">
        <f>G545*AP545</f>
        <v>0</v>
      </c>
      <c r="AY545" s="35" t="s">
        <v>1038</v>
      </c>
      <c r="AZ545" s="35" t="s">
        <v>1077</v>
      </c>
      <c r="BA545" s="28" t="s">
        <v>1086</v>
      </c>
      <c r="BC545" s="34">
        <f>AW545+AX545</f>
        <v>0</v>
      </c>
      <c r="BD545" s="34">
        <f>H545/(100-BE545)*100</f>
        <v>0</v>
      </c>
      <c r="BE545" s="34">
        <v>0</v>
      </c>
      <c r="BF545" s="34">
        <f>545</f>
        <v>545</v>
      </c>
      <c r="BH545" s="18">
        <f>G545*AO545</f>
        <v>0</v>
      </c>
      <c r="BI545" s="18">
        <f>G545*AP545</f>
        <v>0</v>
      </c>
      <c r="BJ545" s="18">
        <f>G545*H545</f>
        <v>0</v>
      </c>
    </row>
    <row r="546" spans="3:7" ht="12.75">
      <c r="C546" s="101" t="s">
        <v>654</v>
      </c>
      <c r="D546" s="102"/>
      <c r="E546" s="102"/>
      <c r="G546" s="64">
        <v>58.261</v>
      </c>
    </row>
    <row r="547" spans="1:62" ht="12.75">
      <c r="A547" s="5" t="s">
        <v>216</v>
      </c>
      <c r="B547" s="5" t="s">
        <v>382</v>
      </c>
      <c r="C547" s="99" t="s">
        <v>655</v>
      </c>
      <c r="D547" s="100"/>
      <c r="E547" s="100"/>
      <c r="F547" s="5" t="s">
        <v>984</v>
      </c>
      <c r="G547" s="63">
        <v>17.82</v>
      </c>
      <c r="H547" s="18">
        <v>0</v>
      </c>
      <c r="I547" s="18">
        <f>G547*AO547</f>
        <v>0</v>
      </c>
      <c r="J547" s="18">
        <f>G547*AP547</f>
        <v>0</v>
      </c>
      <c r="K547" s="18">
        <f>G547*H547</f>
        <v>0</v>
      </c>
      <c r="L547" s="29"/>
      <c r="Z547" s="34">
        <f>IF(AQ547="5",BJ547,0)</f>
        <v>0</v>
      </c>
      <c r="AB547" s="34">
        <f>IF(AQ547="1",BH547,0)</f>
        <v>0</v>
      </c>
      <c r="AC547" s="34">
        <f>IF(AQ547="1",BI547,0)</f>
        <v>0</v>
      </c>
      <c r="AD547" s="34">
        <f>IF(AQ547="7",BH547,0)</f>
        <v>0</v>
      </c>
      <c r="AE547" s="34">
        <f>IF(AQ547="7",BI547,0)</f>
        <v>0</v>
      </c>
      <c r="AF547" s="34">
        <f>IF(AQ547="2",BH547,0)</f>
        <v>0</v>
      </c>
      <c r="AG547" s="34">
        <f>IF(AQ547="2",BI547,0)</f>
        <v>0</v>
      </c>
      <c r="AH547" s="34">
        <f>IF(AQ547="0",BJ547,0)</f>
        <v>0</v>
      </c>
      <c r="AI547" s="28" t="s">
        <v>1021</v>
      </c>
      <c r="AJ547" s="18">
        <f>IF(AN547=0,K547,0)</f>
        <v>0</v>
      </c>
      <c r="AK547" s="18">
        <f>IF(AN547=15,K547,0)</f>
        <v>0</v>
      </c>
      <c r="AL547" s="18">
        <f>IF(AN547=21,K547,0)</f>
        <v>0</v>
      </c>
      <c r="AN547" s="34">
        <v>21</v>
      </c>
      <c r="AO547" s="34">
        <f>H547*0.268079470198675</f>
        <v>0</v>
      </c>
      <c r="AP547" s="34">
        <f>H547*(1-0.268079470198675)</f>
        <v>0</v>
      </c>
      <c r="AQ547" s="29" t="s">
        <v>12</v>
      </c>
      <c r="AV547" s="34">
        <f>AW547+AX547</f>
        <v>0</v>
      </c>
      <c r="AW547" s="34">
        <f>G547*AO547</f>
        <v>0</v>
      </c>
      <c r="AX547" s="34">
        <f>G547*AP547</f>
        <v>0</v>
      </c>
      <c r="AY547" s="35" t="s">
        <v>1038</v>
      </c>
      <c r="AZ547" s="35" t="s">
        <v>1077</v>
      </c>
      <c r="BA547" s="28" t="s">
        <v>1086</v>
      </c>
      <c r="BC547" s="34">
        <f>AW547+AX547</f>
        <v>0</v>
      </c>
      <c r="BD547" s="34">
        <f>H547/(100-BE547)*100</f>
        <v>0</v>
      </c>
      <c r="BE547" s="34">
        <v>0</v>
      </c>
      <c r="BF547" s="34">
        <f>547</f>
        <v>547</v>
      </c>
      <c r="BH547" s="18">
        <f>G547*AO547</f>
        <v>0</v>
      </c>
      <c r="BI547" s="18">
        <f>G547*AP547</f>
        <v>0</v>
      </c>
      <c r="BJ547" s="18">
        <f>G547*H547</f>
        <v>0</v>
      </c>
    </row>
    <row r="548" spans="3:7" ht="12.75">
      <c r="C548" s="101" t="s">
        <v>624</v>
      </c>
      <c r="D548" s="102"/>
      <c r="E548" s="102"/>
      <c r="G548" s="64">
        <v>17.82</v>
      </c>
    </row>
    <row r="549" spans="1:62" ht="12.75">
      <c r="A549" s="6" t="s">
        <v>217</v>
      </c>
      <c r="B549" s="6" t="s">
        <v>383</v>
      </c>
      <c r="C549" s="103" t="s">
        <v>656</v>
      </c>
      <c r="D549" s="104"/>
      <c r="E549" s="104"/>
      <c r="F549" s="6" t="s">
        <v>985</v>
      </c>
      <c r="G549" s="65">
        <v>0.727</v>
      </c>
      <c r="H549" s="19">
        <v>0</v>
      </c>
      <c r="I549" s="19">
        <f>G549*AO549</f>
        <v>0</v>
      </c>
      <c r="J549" s="19">
        <f>G549*AP549</f>
        <v>0</v>
      </c>
      <c r="K549" s="19">
        <f>G549*H549</f>
        <v>0</v>
      </c>
      <c r="L549" s="30"/>
      <c r="Z549" s="34">
        <f>IF(AQ549="5",BJ549,0)</f>
        <v>0</v>
      </c>
      <c r="AB549" s="34">
        <f>IF(AQ549="1",BH549,0)</f>
        <v>0</v>
      </c>
      <c r="AC549" s="34">
        <f>IF(AQ549="1",BI549,0)</f>
        <v>0</v>
      </c>
      <c r="AD549" s="34">
        <f>IF(AQ549="7",BH549,0)</f>
        <v>0</v>
      </c>
      <c r="AE549" s="34">
        <f>IF(AQ549="7",BI549,0)</f>
        <v>0</v>
      </c>
      <c r="AF549" s="34">
        <f>IF(AQ549="2",BH549,0)</f>
        <v>0</v>
      </c>
      <c r="AG549" s="34">
        <f>IF(AQ549="2",BI549,0)</f>
        <v>0</v>
      </c>
      <c r="AH549" s="34">
        <f>IF(AQ549="0",BJ549,0)</f>
        <v>0</v>
      </c>
      <c r="AI549" s="28" t="s">
        <v>1021</v>
      </c>
      <c r="AJ549" s="19">
        <f>IF(AN549=0,K549,0)</f>
        <v>0</v>
      </c>
      <c r="AK549" s="19">
        <f>IF(AN549=15,K549,0)</f>
        <v>0</v>
      </c>
      <c r="AL549" s="19">
        <f>IF(AN549=21,K549,0)</f>
        <v>0</v>
      </c>
      <c r="AN549" s="34">
        <v>21</v>
      </c>
      <c r="AO549" s="34">
        <f>H549*1</f>
        <v>0</v>
      </c>
      <c r="AP549" s="34">
        <f>H549*(1-1)</f>
        <v>0</v>
      </c>
      <c r="AQ549" s="30" t="s">
        <v>12</v>
      </c>
      <c r="AV549" s="34">
        <f>AW549+AX549</f>
        <v>0</v>
      </c>
      <c r="AW549" s="34">
        <f>G549*AO549</f>
        <v>0</v>
      </c>
      <c r="AX549" s="34">
        <f>G549*AP549</f>
        <v>0</v>
      </c>
      <c r="AY549" s="35" t="s">
        <v>1038</v>
      </c>
      <c r="AZ549" s="35" t="s">
        <v>1077</v>
      </c>
      <c r="BA549" s="28" t="s">
        <v>1086</v>
      </c>
      <c r="BC549" s="34">
        <f>AW549+AX549</f>
        <v>0</v>
      </c>
      <c r="BD549" s="34">
        <f>H549/(100-BE549)*100</f>
        <v>0</v>
      </c>
      <c r="BE549" s="34">
        <v>0</v>
      </c>
      <c r="BF549" s="34">
        <f>549</f>
        <v>549</v>
      </c>
      <c r="BH549" s="19">
        <f>G549*AO549</f>
        <v>0</v>
      </c>
      <c r="BI549" s="19">
        <f>G549*AP549</f>
        <v>0</v>
      </c>
      <c r="BJ549" s="19">
        <f>G549*H549</f>
        <v>0</v>
      </c>
    </row>
    <row r="550" spans="3:7" ht="12.75">
      <c r="C550" s="101" t="s">
        <v>657</v>
      </c>
      <c r="D550" s="102"/>
      <c r="E550" s="102"/>
      <c r="G550" s="64">
        <v>0.713</v>
      </c>
    </row>
    <row r="551" spans="3:7" ht="12.75">
      <c r="C551" s="101" t="s">
        <v>658</v>
      </c>
      <c r="D551" s="102"/>
      <c r="E551" s="102"/>
      <c r="G551" s="64">
        <v>0.014</v>
      </c>
    </row>
    <row r="552" spans="1:62" ht="12.75">
      <c r="A552" s="5" t="s">
        <v>218</v>
      </c>
      <c r="B552" s="5" t="s">
        <v>384</v>
      </c>
      <c r="C552" s="99" t="s">
        <v>659</v>
      </c>
      <c r="D552" s="100"/>
      <c r="E552" s="100"/>
      <c r="F552" s="5" t="s">
        <v>987</v>
      </c>
      <c r="G552" s="63">
        <v>4.34</v>
      </c>
      <c r="H552" s="18">
        <v>0</v>
      </c>
      <c r="I552" s="18">
        <f>G552*AO552</f>
        <v>0</v>
      </c>
      <c r="J552" s="18">
        <f>G552*AP552</f>
        <v>0</v>
      </c>
      <c r="K552" s="18">
        <f>G552*H552</f>
        <v>0</v>
      </c>
      <c r="L552" s="29"/>
      <c r="Z552" s="34">
        <f>IF(AQ552="5",BJ552,0)</f>
        <v>0</v>
      </c>
      <c r="AB552" s="34">
        <f>IF(AQ552="1",BH552,0)</f>
        <v>0</v>
      </c>
      <c r="AC552" s="34">
        <f>IF(AQ552="1",BI552,0)</f>
        <v>0</v>
      </c>
      <c r="AD552" s="34">
        <f>IF(AQ552="7",BH552,0)</f>
        <v>0</v>
      </c>
      <c r="AE552" s="34">
        <f>IF(AQ552="7",BI552,0)</f>
        <v>0</v>
      </c>
      <c r="AF552" s="34">
        <f>IF(AQ552="2",BH552,0)</f>
        <v>0</v>
      </c>
      <c r="AG552" s="34">
        <f>IF(AQ552="2",BI552,0)</f>
        <v>0</v>
      </c>
      <c r="AH552" s="34">
        <f>IF(AQ552="0",BJ552,0)</f>
        <v>0</v>
      </c>
      <c r="AI552" s="28" t="s">
        <v>1021</v>
      </c>
      <c r="AJ552" s="18">
        <f>IF(AN552=0,K552,0)</f>
        <v>0</v>
      </c>
      <c r="AK552" s="18">
        <f>IF(AN552=15,K552,0)</f>
        <v>0</v>
      </c>
      <c r="AL552" s="18">
        <f>IF(AN552=21,K552,0)</f>
        <v>0</v>
      </c>
      <c r="AN552" s="34">
        <v>21</v>
      </c>
      <c r="AO552" s="34">
        <f>H552*0</f>
        <v>0</v>
      </c>
      <c r="AP552" s="34">
        <f>H552*(1-0)</f>
        <v>0</v>
      </c>
      <c r="AQ552" s="29" t="s">
        <v>10</v>
      </c>
      <c r="AV552" s="34">
        <f>AW552+AX552</f>
        <v>0</v>
      </c>
      <c r="AW552" s="34">
        <f>G552*AO552</f>
        <v>0</v>
      </c>
      <c r="AX552" s="34">
        <f>G552*AP552</f>
        <v>0</v>
      </c>
      <c r="AY552" s="35" t="s">
        <v>1038</v>
      </c>
      <c r="AZ552" s="35" t="s">
        <v>1077</v>
      </c>
      <c r="BA552" s="28" t="s">
        <v>1086</v>
      </c>
      <c r="BC552" s="34">
        <f>AW552+AX552</f>
        <v>0</v>
      </c>
      <c r="BD552" s="34">
        <f>H552/(100-BE552)*100</f>
        <v>0</v>
      </c>
      <c r="BE552" s="34">
        <v>0</v>
      </c>
      <c r="BF552" s="34">
        <f>552</f>
        <v>552</v>
      </c>
      <c r="BH552" s="18">
        <f>G552*AO552</f>
        <v>0</v>
      </c>
      <c r="BI552" s="18">
        <f>G552*AP552</f>
        <v>0</v>
      </c>
      <c r="BJ552" s="18">
        <f>G552*H552</f>
        <v>0</v>
      </c>
    </row>
    <row r="553" spans="3:7" ht="12.75">
      <c r="C553" s="101" t="s">
        <v>660</v>
      </c>
      <c r="D553" s="102"/>
      <c r="E553" s="102"/>
      <c r="G553" s="64">
        <v>4.34</v>
      </c>
    </row>
    <row r="554" spans="1:47" ht="12.75">
      <c r="A554" s="4"/>
      <c r="B554" s="14" t="s">
        <v>485</v>
      </c>
      <c r="C554" s="97" t="s">
        <v>883</v>
      </c>
      <c r="D554" s="98"/>
      <c r="E554" s="98"/>
      <c r="F554" s="4" t="s">
        <v>5</v>
      </c>
      <c r="G554" s="4" t="s">
        <v>5</v>
      </c>
      <c r="H554" s="4" t="s">
        <v>5</v>
      </c>
      <c r="I554" s="37">
        <f>SUM(I555:I559)</f>
        <v>0</v>
      </c>
      <c r="J554" s="37">
        <f>SUM(J555:J559)</f>
        <v>0</v>
      </c>
      <c r="K554" s="37">
        <f>SUM(K555:K559)</f>
        <v>0</v>
      </c>
      <c r="L554" s="28"/>
      <c r="AI554" s="28" t="s">
        <v>1021</v>
      </c>
      <c r="AS554" s="37">
        <f>SUM(AJ555:AJ559)</f>
        <v>0</v>
      </c>
      <c r="AT554" s="37">
        <f>SUM(AK555:AK559)</f>
        <v>0</v>
      </c>
      <c r="AU554" s="37">
        <f>SUM(AL555:AL559)</f>
        <v>0</v>
      </c>
    </row>
    <row r="555" spans="1:62" ht="12.75">
      <c r="A555" s="5" t="s">
        <v>219</v>
      </c>
      <c r="B555" s="5" t="s">
        <v>486</v>
      </c>
      <c r="C555" s="99" t="s">
        <v>884</v>
      </c>
      <c r="D555" s="100"/>
      <c r="E555" s="100"/>
      <c r="F555" s="5" t="s">
        <v>988</v>
      </c>
      <c r="G555" s="63">
        <v>3</v>
      </c>
      <c r="H555" s="18">
        <v>0</v>
      </c>
      <c r="I555" s="18">
        <f>G555*AO555</f>
        <v>0</v>
      </c>
      <c r="J555" s="18">
        <f>G555*AP555</f>
        <v>0</v>
      </c>
      <c r="K555" s="18">
        <f>G555*H555</f>
        <v>0</v>
      </c>
      <c r="L555" s="29"/>
      <c r="Z555" s="34">
        <f>IF(AQ555="5",BJ555,0)</f>
        <v>0</v>
      </c>
      <c r="AB555" s="34">
        <f>IF(AQ555="1",BH555,0)</f>
        <v>0</v>
      </c>
      <c r="AC555" s="34">
        <f>IF(AQ555="1",BI555,0)</f>
        <v>0</v>
      </c>
      <c r="AD555" s="34">
        <f>IF(AQ555="7",BH555,0)</f>
        <v>0</v>
      </c>
      <c r="AE555" s="34">
        <f>IF(AQ555="7",BI555,0)</f>
        <v>0</v>
      </c>
      <c r="AF555" s="34">
        <f>IF(AQ555="2",BH555,0)</f>
        <v>0</v>
      </c>
      <c r="AG555" s="34">
        <f>IF(AQ555="2",BI555,0)</f>
        <v>0</v>
      </c>
      <c r="AH555" s="34">
        <f>IF(AQ555="0",BJ555,0)</f>
        <v>0</v>
      </c>
      <c r="AI555" s="28" t="s">
        <v>1021</v>
      </c>
      <c r="AJ555" s="18">
        <f>IF(AN555=0,K555,0)</f>
        <v>0</v>
      </c>
      <c r="AK555" s="18">
        <f>IF(AN555=15,K555,0)</f>
        <v>0</v>
      </c>
      <c r="AL555" s="18">
        <f>IF(AN555=21,K555,0)</f>
        <v>0</v>
      </c>
      <c r="AN555" s="34">
        <v>21</v>
      </c>
      <c r="AO555" s="34">
        <f>H555*0</f>
        <v>0</v>
      </c>
      <c r="AP555" s="34">
        <f>H555*(1-0)</f>
        <v>0</v>
      </c>
      <c r="AQ555" s="29" t="s">
        <v>12</v>
      </c>
      <c r="AV555" s="34">
        <f>AW555+AX555</f>
        <v>0</v>
      </c>
      <c r="AW555" s="34">
        <f>G555*AO555</f>
        <v>0</v>
      </c>
      <c r="AX555" s="34">
        <f>G555*AP555</f>
        <v>0</v>
      </c>
      <c r="AY555" s="35" t="s">
        <v>1057</v>
      </c>
      <c r="AZ555" s="35" t="s">
        <v>1078</v>
      </c>
      <c r="BA555" s="28" t="s">
        <v>1086</v>
      </c>
      <c r="BC555" s="34">
        <f>AW555+AX555</f>
        <v>0</v>
      </c>
      <c r="BD555" s="34">
        <f>H555/(100-BE555)*100</f>
        <v>0</v>
      </c>
      <c r="BE555" s="34">
        <v>0</v>
      </c>
      <c r="BF555" s="34">
        <f>555</f>
        <v>555</v>
      </c>
      <c r="BH555" s="18">
        <f>G555*AO555</f>
        <v>0</v>
      </c>
      <c r="BI555" s="18">
        <f>G555*AP555</f>
        <v>0</v>
      </c>
      <c r="BJ555" s="18">
        <f>G555*H555</f>
        <v>0</v>
      </c>
    </row>
    <row r="556" spans="3:7" ht="12.75">
      <c r="C556" s="101" t="s">
        <v>8</v>
      </c>
      <c r="D556" s="102"/>
      <c r="E556" s="102"/>
      <c r="G556" s="64">
        <v>3</v>
      </c>
    </row>
    <row r="557" spans="1:62" ht="12.75">
      <c r="A557" s="5" t="s">
        <v>220</v>
      </c>
      <c r="B557" s="5" t="s">
        <v>487</v>
      </c>
      <c r="C557" s="99" t="s">
        <v>885</v>
      </c>
      <c r="D557" s="100"/>
      <c r="E557" s="100"/>
      <c r="F557" s="5" t="s">
        <v>988</v>
      </c>
      <c r="G557" s="63">
        <v>3</v>
      </c>
      <c r="H557" s="18">
        <v>0</v>
      </c>
      <c r="I557" s="18">
        <f>G557*AO557</f>
        <v>0</v>
      </c>
      <c r="J557" s="18">
        <f>G557*AP557</f>
        <v>0</v>
      </c>
      <c r="K557" s="18">
        <f>G557*H557</f>
        <v>0</v>
      </c>
      <c r="L557" s="29"/>
      <c r="Z557" s="34">
        <f>IF(AQ557="5",BJ557,0)</f>
        <v>0</v>
      </c>
      <c r="AB557" s="34">
        <f>IF(AQ557="1",BH557,0)</f>
        <v>0</v>
      </c>
      <c r="AC557" s="34">
        <f>IF(AQ557="1",BI557,0)</f>
        <v>0</v>
      </c>
      <c r="AD557" s="34">
        <f>IF(AQ557="7",BH557,0)</f>
        <v>0</v>
      </c>
      <c r="AE557" s="34">
        <f>IF(AQ557="7",BI557,0)</f>
        <v>0</v>
      </c>
      <c r="AF557" s="34">
        <f>IF(AQ557="2",BH557,0)</f>
        <v>0</v>
      </c>
      <c r="AG557" s="34">
        <f>IF(AQ557="2",BI557,0)</f>
        <v>0</v>
      </c>
      <c r="AH557" s="34">
        <f>IF(AQ557="0",BJ557,0)</f>
        <v>0</v>
      </c>
      <c r="AI557" s="28" t="s">
        <v>1021</v>
      </c>
      <c r="AJ557" s="18">
        <f>IF(AN557=0,K557,0)</f>
        <v>0</v>
      </c>
      <c r="AK557" s="18">
        <f>IF(AN557=15,K557,0)</f>
        <v>0</v>
      </c>
      <c r="AL557" s="18">
        <f>IF(AN557=21,K557,0)</f>
        <v>0</v>
      </c>
      <c r="AN557" s="34">
        <v>21</v>
      </c>
      <c r="AO557" s="34">
        <f>H557*0.914386617100372</f>
        <v>0</v>
      </c>
      <c r="AP557" s="34">
        <f>H557*(1-0.914386617100372)</f>
        <v>0</v>
      </c>
      <c r="AQ557" s="29" t="s">
        <v>12</v>
      </c>
      <c r="AV557" s="34">
        <f>AW557+AX557</f>
        <v>0</v>
      </c>
      <c r="AW557" s="34">
        <f>G557*AO557</f>
        <v>0</v>
      </c>
      <c r="AX557" s="34">
        <f>G557*AP557</f>
        <v>0</v>
      </c>
      <c r="AY557" s="35" t="s">
        <v>1057</v>
      </c>
      <c r="AZ557" s="35" t="s">
        <v>1078</v>
      </c>
      <c r="BA557" s="28" t="s">
        <v>1086</v>
      </c>
      <c r="BC557" s="34">
        <f>AW557+AX557</f>
        <v>0</v>
      </c>
      <c r="BD557" s="34">
        <f>H557/(100-BE557)*100</f>
        <v>0</v>
      </c>
      <c r="BE557" s="34">
        <v>0</v>
      </c>
      <c r="BF557" s="34">
        <f>557</f>
        <v>557</v>
      </c>
      <c r="BH557" s="18">
        <f>G557*AO557</f>
        <v>0</v>
      </c>
      <c r="BI557" s="18">
        <f>G557*AP557</f>
        <v>0</v>
      </c>
      <c r="BJ557" s="18">
        <f>G557*H557</f>
        <v>0</v>
      </c>
    </row>
    <row r="558" spans="3:7" ht="12.75">
      <c r="C558" s="101" t="s">
        <v>8</v>
      </c>
      <c r="D558" s="102"/>
      <c r="E558" s="102"/>
      <c r="G558" s="64">
        <v>3</v>
      </c>
    </row>
    <row r="559" spans="1:62" ht="12.75">
      <c r="A559" s="5" t="s">
        <v>221</v>
      </c>
      <c r="B559" s="5" t="s">
        <v>488</v>
      </c>
      <c r="C559" s="99" t="s">
        <v>886</v>
      </c>
      <c r="D559" s="100"/>
      <c r="E559" s="100"/>
      <c r="F559" s="5" t="s">
        <v>987</v>
      </c>
      <c r="G559" s="63">
        <v>0.459</v>
      </c>
      <c r="H559" s="18">
        <v>0</v>
      </c>
      <c r="I559" s="18">
        <f>G559*AO559</f>
        <v>0</v>
      </c>
      <c r="J559" s="18">
        <f>G559*AP559</f>
        <v>0</v>
      </c>
      <c r="K559" s="18">
        <f>G559*H559</f>
        <v>0</v>
      </c>
      <c r="L559" s="29"/>
      <c r="Z559" s="34">
        <f>IF(AQ559="5",BJ559,0)</f>
        <v>0</v>
      </c>
      <c r="AB559" s="34">
        <f>IF(AQ559="1",BH559,0)</f>
        <v>0</v>
      </c>
      <c r="AC559" s="34">
        <f>IF(AQ559="1",BI559,0)</f>
        <v>0</v>
      </c>
      <c r="AD559" s="34">
        <f>IF(AQ559="7",BH559,0)</f>
        <v>0</v>
      </c>
      <c r="AE559" s="34">
        <f>IF(AQ559="7",BI559,0)</f>
        <v>0</v>
      </c>
      <c r="AF559" s="34">
        <f>IF(AQ559="2",BH559,0)</f>
        <v>0</v>
      </c>
      <c r="AG559" s="34">
        <f>IF(AQ559="2",BI559,0)</f>
        <v>0</v>
      </c>
      <c r="AH559" s="34">
        <f>IF(AQ559="0",BJ559,0)</f>
        <v>0</v>
      </c>
      <c r="AI559" s="28" t="s">
        <v>1021</v>
      </c>
      <c r="AJ559" s="18">
        <f>IF(AN559=0,K559,0)</f>
        <v>0</v>
      </c>
      <c r="AK559" s="18">
        <f>IF(AN559=15,K559,0)</f>
        <v>0</v>
      </c>
      <c r="AL559" s="18">
        <f>IF(AN559=21,K559,0)</f>
        <v>0</v>
      </c>
      <c r="AN559" s="34">
        <v>21</v>
      </c>
      <c r="AO559" s="34">
        <f>H559*0</f>
        <v>0</v>
      </c>
      <c r="AP559" s="34">
        <f>H559*(1-0)</f>
        <v>0</v>
      </c>
      <c r="AQ559" s="29" t="s">
        <v>10</v>
      </c>
      <c r="AV559" s="34">
        <f>AW559+AX559</f>
        <v>0</v>
      </c>
      <c r="AW559" s="34">
        <f>G559*AO559</f>
        <v>0</v>
      </c>
      <c r="AX559" s="34">
        <f>G559*AP559</f>
        <v>0</v>
      </c>
      <c r="AY559" s="35" t="s">
        <v>1057</v>
      </c>
      <c r="AZ559" s="35" t="s">
        <v>1078</v>
      </c>
      <c r="BA559" s="28" t="s">
        <v>1086</v>
      </c>
      <c r="BC559" s="34">
        <f>AW559+AX559</f>
        <v>0</v>
      </c>
      <c r="BD559" s="34">
        <f>H559/(100-BE559)*100</f>
        <v>0</v>
      </c>
      <c r="BE559" s="34">
        <v>0</v>
      </c>
      <c r="BF559" s="34">
        <f>559</f>
        <v>559</v>
      </c>
      <c r="BH559" s="18">
        <f>G559*AO559</f>
        <v>0</v>
      </c>
      <c r="BI559" s="18">
        <f>G559*AP559</f>
        <v>0</v>
      </c>
      <c r="BJ559" s="18">
        <f>G559*H559</f>
        <v>0</v>
      </c>
    </row>
    <row r="560" spans="3:7" ht="12.75">
      <c r="C560" s="101" t="s">
        <v>887</v>
      </c>
      <c r="D560" s="102"/>
      <c r="E560" s="102"/>
      <c r="G560" s="64">
        <v>0.459</v>
      </c>
    </row>
    <row r="561" spans="1:47" ht="12.75">
      <c r="A561" s="4"/>
      <c r="B561" s="14" t="s">
        <v>385</v>
      </c>
      <c r="C561" s="97" t="s">
        <v>661</v>
      </c>
      <c r="D561" s="98"/>
      <c r="E561" s="98"/>
      <c r="F561" s="4" t="s">
        <v>5</v>
      </c>
      <c r="G561" s="4" t="s">
        <v>5</v>
      </c>
      <c r="H561" s="4" t="s">
        <v>5</v>
      </c>
      <c r="I561" s="37">
        <f>SUM(I562:I570)</f>
        <v>0</v>
      </c>
      <c r="J561" s="37">
        <f>SUM(J562:J570)</f>
        <v>0</v>
      </c>
      <c r="K561" s="37">
        <f>SUM(K562:K570)</f>
        <v>0</v>
      </c>
      <c r="L561" s="28"/>
      <c r="AI561" s="28" t="s">
        <v>1021</v>
      </c>
      <c r="AS561" s="37">
        <f>SUM(AJ562:AJ570)</f>
        <v>0</v>
      </c>
      <c r="AT561" s="37">
        <f>SUM(AK562:AK570)</f>
        <v>0</v>
      </c>
      <c r="AU561" s="37">
        <f>SUM(AL562:AL570)</f>
        <v>0</v>
      </c>
    </row>
    <row r="562" spans="1:62" ht="12.75">
      <c r="A562" s="5" t="s">
        <v>222</v>
      </c>
      <c r="B562" s="5" t="s">
        <v>386</v>
      </c>
      <c r="C562" s="99" t="s">
        <v>662</v>
      </c>
      <c r="D562" s="100"/>
      <c r="E562" s="100"/>
      <c r="F562" s="5" t="s">
        <v>988</v>
      </c>
      <c r="G562" s="63">
        <v>3</v>
      </c>
      <c r="H562" s="18">
        <v>0</v>
      </c>
      <c r="I562" s="18">
        <f>G562*AO562</f>
        <v>0</v>
      </c>
      <c r="J562" s="18">
        <f>G562*AP562</f>
        <v>0</v>
      </c>
      <c r="K562" s="18">
        <f>G562*H562</f>
        <v>0</v>
      </c>
      <c r="L562" s="29"/>
      <c r="Z562" s="34">
        <f>IF(AQ562="5",BJ562,0)</f>
        <v>0</v>
      </c>
      <c r="AB562" s="34">
        <f>IF(AQ562="1",BH562,0)</f>
        <v>0</v>
      </c>
      <c r="AC562" s="34">
        <f>IF(AQ562="1",BI562,0)</f>
        <v>0</v>
      </c>
      <c r="AD562" s="34">
        <f>IF(AQ562="7",BH562,0)</f>
        <v>0</v>
      </c>
      <c r="AE562" s="34">
        <f>IF(AQ562="7",BI562,0)</f>
        <v>0</v>
      </c>
      <c r="AF562" s="34">
        <f>IF(AQ562="2",BH562,0)</f>
        <v>0</v>
      </c>
      <c r="AG562" s="34">
        <f>IF(AQ562="2",BI562,0)</f>
        <v>0</v>
      </c>
      <c r="AH562" s="34">
        <f>IF(AQ562="0",BJ562,0)</f>
        <v>0</v>
      </c>
      <c r="AI562" s="28" t="s">
        <v>1021</v>
      </c>
      <c r="AJ562" s="18">
        <f>IF(AN562=0,K562,0)</f>
        <v>0</v>
      </c>
      <c r="AK562" s="18">
        <f>IF(AN562=15,K562,0)</f>
        <v>0</v>
      </c>
      <c r="AL562" s="18">
        <f>IF(AN562=21,K562,0)</f>
        <v>0</v>
      </c>
      <c r="AN562" s="34">
        <v>21</v>
      </c>
      <c r="AO562" s="34">
        <f>H562*0.135416666666667</f>
        <v>0</v>
      </c>
      <c r="AP562" s="34">
        <f>H562*(1-0.135416666666667)</f>
        <v>0</v>
      </c>
      <c r="AQ562" s="29" t="s">
        <v>12</v>
      </c>
      <c r="AV562" s="34">
        <f>AW562+AX562</f>
        <v>0</v>
      </c>
      <c r="AW562" s="34">
        <f>G562*AO562</f>
        <v>0</v>
      </c>
      <c r="AX562" s="34">
        <f>G562*AP562</f>
        <v>0</v>
      </c>
      <c r="AY562" s="35" t="s">
        <v>1039</v>
      </c>
      <c r="AZ562" s="35" t="s">
        <v>1078</v>
      </c>
      <c r="BA562" s="28" t="s">
        <v>1086</v>
      </c>
      <c r="BC562" s="34">
        <f>AW562+AX562</f>
        <v>0</v>
      </c>
      <c r="BD562" s="34">
        <f>H562/(100-BE562)*100</f>
        <v>0</v>
      </c>
      <c r="BE562" s="34">
        <v>0</v>
      </c>
      <c r="BF562" s="34">
        <f>562</f>
        <v>562</v>
      </c>
      <c r="BH562" s="18">
        <f>G562*AO562</f>
        <v>0</v>
      </c>
      <c r="BI562" s="18">
        <f>G562*AP562</f>
        <v>0</v>
      </c>
      <c r="BJ562" s="18">
        <f>G562*H562</f>
        <v>0</v>
      </c>
    </row>
    <row r="563" spans="3:7" ht="12.75">
      <c r="C563" s="101" t="s">
        <v>8</v>
      </c>
      <c r="D563" s="102"/>
      <c r="E563" s="102"/>
      <c r="G563" s="64">
        <v>3</v>
      </c>
    </row>
    <row r="564" spans="1:62" ht="12.75">
      <c r="A564" s="5" t="s">
        <v>223</v>
      </c>
      <c r="B564" s="5" t="s">
        <v>387</v>
      </c>
      <c r="C564" s="99" t="s">
        <v>663</v>
      </c>
      <c r="D564" s="100"/>
      <c r="E564" s="100"/>
      <c r="F564" s="5" t="s">
        <v>988</v>
      </c>
      <c r="G564" s="63">
        <v>3</v>
      </c>
      <c r="H564" s="18">
        <v>0</v>
      </c>
      <c r="I564" s="18">
        <f>G564*AO564</f>
        <v>0</v>
      </c>
      <c r="J564" s="18">
        <f>G564*AP564</f>
        <v>0</v>
      </c>
      <c r="K564" s="18">
        <f>G564*H564</f>
        <v>0</v>
      </c>
      <c r="L564" s="29"/>
      <c r="Z564" s="34">
        <f>IF(AQ564="5",BJ564,0)</f>
        <v>0</v>
      </c>
      <c r="AB564" s="34">
        <f>IF(AQ564="1",BH564,0)</f>
        <v>0</v>
      </c>
      <c r="AC564" s="34">
        <f>IF(AQ564="1",BI564,0)</f>
        <v>0</v>
      </c>
      <c r="AD564" s="34">
        <f>IF(AQ564="7",BH564,0)</f>
        <v>0</v>
      </c>
      <c r="AE564" s="34">
        <f>IF(AQ564="7",BI564,0)</f>
        <v>0</v>
      </c>
      <c r="AF564" s="34">
        <f>IF(AQ564="2",BH564,0)</f>
        <v>0</v>
      </c>
      <c r="AG564" s="34">
        <f>IF(AQ564="2",BI564,0)</f>
        <v>0</v>
      </c>
      <c r="AH564" s="34">
        <f>IF(AQ564="0",BJ564,0)</f>
        <v>0</v>
      </c>
      <c r="AI564" s="28" t="s">
        <v>1021</v>
      </c>
      <c r="AJ564" s="18">
        <f>IF(AN564=0,K564,0)</f>
        <v>0</v>
      </c>
      <c r="AK564" s="18">
        <f>IF(AN564=15,K564,0)</f>
        <v>0</v>
      </c>
      <c r="AL564" s="18">
        <f>IF(AN564=21,K564,0)</f>
        <v>0</v>
      </c>
      <c r="AN564" s="34">
        <v>21</v>
      </c>
      <c r="AO564" s="34">
        <f>H564*0.23</f>
        <v>0</v>
      </c>
      <c r="AP564" s="34">
        <f>H564*(1-0.23)</f>
        <v>0</v>
      </c>
      <c r="AQ564" s="29" t="s">
        <v>12</v>
      </c>
      <c r="AV564" s="34">
        <f>AW564+AX564</f>
        <v>0</v>
      </c>
      <c r="AW564" s="34">
        <f>G564*AO564</f>
        <v>0</v>
      </c>
      <c r="AX564" s="34">
        <f>G564*AP564</f>
        <v>0</v>
      </c>
      <c r="AY564" s="35" t="s">
        <v>1039</v>
      </c>
      <c r="AZ564" s="35" t="s">
        <v>1078</v>
      </c>
      <c r="BA564" s="28" t="s">
        <v>1086</v>
      </c>
      <c r="BC564" s="34">
        <f>AW564+AX564</f>
        <v>0</v>
      </c>
      <c r="BD564" s="34">
        <f>H564/(100-BE564)*100</f>
        <v>0</v>
      </c>
      <c r="BE564" s="34">
        <v>0</v>
      </c>
      <c r="BF564" s="34">
        <f>564</f>
        <v>564</v>
      </c>
      <c r="BH564" s="18">
        <f>G564*AO564</f>
        <v>0</v>
      </c>
      <c r="BI564" s="18">
        <f>G564*AP564</f>
        <v>0</v>
      </c>
      <c r="BJ564" s="18">
        <f>G564*H564</f>
        <v>0</v>
      </c>
    </row>
    <row r="565" spans="3:7" ht="12.75">
      <c r="C565" s="101" t="s">
        <v>8</v>
      </c>
      <c r="D565" s="102"/>
      <c r="E565" s="102"/>
      <c r="G565" s="64">
        <v>3</v>
      </c>
    </row>
    <row r="566" spans="1:62" ht="12.75">
      <c r="A566" s="5" t="s">
        <v>224</v>
      </c>
      <c r="B566" s="5" t="s">
        <v>388</v>
      </c>
      <c r="C566" s="99" t="s">
        <v>664</v>
      </c>
      <c r="D566" s="100"/>
      <c r="E566" s="100"/>
      <c r="F566" s="5" t="s">
        <v>988</v>
      </c>
      <c r="G566" s="63">
        <v>3</v>
      </c>
      <c r="H566" s="18">
        <v>0</v>
      </c>
      <c r="I566" s="18">
        <f>G566*AO566</f>
        <v>0</v>
      </c>
      <c r="J566" s="18">
        <f>G566*AP566</f>
        <v>0</v>
      </c>
      <c r="K566" s="18">
        <f>G566*H566</f>
        <v>0</v>
      </c>
      <c r="L566" s="29"/>
      <c r="Z566" s="34">
        <f>IF(AQ566="5",BJ566,0)</f>
        <v>0</v>
      </c>
      <c r="AB566" s="34">
        <f>IF(AQ566="1",BH566,0)</f>
        <v>0</v>
      </c>
      <c r="AC566" s="34">
        <f>IF(AQ566="1",BI566,0)</f>
        <v>0</v>
      </c>
      <c r="AD566" s="34">
        <f>IF(AQ566="7",BH566,0)</f>
        <v>0</v>
      </c>
      <c r="AE566" s="34">
        <f>IF(AQ566="7",BI566,0)</f>
        <v>0</v>
      </c>
      <c r="AF566" s="34">
        <f>IF(AQ566="2",BH566,0)</f>
        <v>0</v>
      </c>
      <c r="AG566" s="34">
        <f>IF(AQ566="2",BI566,0)</f>
        <v>0</v>
      </c>
      <c r="AH566" s="34">
        <f>IF(AQ566="0",BJ566,0)</f>
        <v>0</v>
      </c>
      <c r="AI566" s="28" t="s">
        <v>1021</v>
      </c>
      <c r="AJ566" s="18">
        <f>IF(AN566=0,K566,0)</f>
        <v>0</v>
      </c>
      <c r="AK566" s="18">
        <f>IF(AN566=15,K566,0)</f>
        <v>0</v>
      </c>
      <c r="AL566" s="18">
        <f>IF(AN566=21,K566,0)</f>
        <v>0</v>
      </c>
      <c r="AN566" s="34">
        <v>21</v>
      </c>
      <c r="AO566" s="34">
        <f>H566*0.799938795656466</f>
        <v>0</v>
      </c>
      <c r="AP566" s="34">
        <f>H566*(1-0.799938795656466)</f>
        <v>0</v>
      </c>
      <c r="AQ566" s="29" t="s">
        <v>12</v>
      </c>
      <c r="AV566" s="34">
        <f>AW566+AX566</f>
        <v>0</v>
      </c>
      <c r="AW566" s="34">
        <f>G566*AO566</f>
        <v>0</v>
      </c>
      <c r="AX566" s="34">
        <f>G566*AP566</f>
        <v>0</v>
      </c>
      <c r="AY566" s="35" t="s">
        <v>1039</v>
      </c>
      <c r="AZ566" s="35" t="s">
        <v>1078</v>
      </c>
      <c r="BA566" s="28" t="s">
        <v>1086</v>
      </c>
      <c r="BC566" s="34">
        <f>AW566+AX566</f>
        <v>0</v>
      </c>
      <c r="BD566" s="34">
        <f>H566/(100-BE566)*100</f>
        <v>0</v>
      </c>
      <c r="BE566" s="34">
        <v>0</v>
      </c>
      <c r="BF566" s="34">
        <f>566</f>
        <v>566</v>
      </c>
      <c r="BH566" s="18">
        <f>G566*AO566</f>
        <v>0</v>
      </c>
      <c r="BI566" s="18">
        <f>G566*AP566</f>
        <v>0</v>
      </c>
      <c r="BJ566" s="18">
        <f>G566*H566</f>
        <v>0</v>
      </c>
    </row>
    <row r="567" spans="3:7" ht="12.75">
      <c r="C567" s="101" t="s">
        <v>8</v>
      </c>
      <c r="D567" s="102"/>
      <c r="E567" s="102"/>
      <c r="G567" s="64">
        <v>3</v>
      </c>
    </row>
    <row r="568" spans="1:62" ht="12.75">
      <c r="A568" s="5" t="s">
        <v>225</v>
      </c>
      <c r="B568" s="5" t="s">
        <v>389</v>
      </c>
      <c r="C568" s="99" t="s">
        <v>888</v>
      </c>
      <c r="D568" s="100"/>
      <c r="E568" s="100"/>
      <c r="F568" s="5" t="s">
        <v>987</v>
      </c>
      <c r="G568" s="63">
        <v>0.027</v>
      </c>
      <c r="H568" s="18">
        <v>0</v>
      </c>
      <c r="I568" s="18">
        <f>G568*AO568</f>
        <v>0</v>
      </c>
      <c r="J568" s="18">
        <f>G568*AP568</f>
        <v>0</v>
      </c>
      <c r="K568" s="18">
        <f>G568*H568</f>
        <v>0</v>
      </c>
      <c r="L568" s="29"/>
      <c r="Z568" s="34">
        <f>IF(AQ568="5",BJ568,0)</f>
        <v>0</v>
      </c>
      <c r="AB568" s="34">
        <f>IF(AQ568="1",BH568,0)</f>
        <v>0</v>
      </c>
      <c r="AC568" s="34">
        <f>IF(AQ568="1",BI568,0)</f>
        <v>0</v>
      </c>
      <c r="AD568" s="34">
        <f>IF(AQ568="7",BH568,0)</f>
        <v>0</v>
      </c>
      <c r="AE568" s="34">
        <f>IF(AQ568="7",BI568,0)</f>
        <v>0</v>
      </c>
      <c r="AF568" s="34">
        <f>IF(AQ568="2",BH568,0)</f>
        <v>0</v>
      </c>
      <c r="AG568" s="34">
        <f>IF(AQ568="2",BI568,0)</f>
        <v>0</v>
      </c>
      <c r="AH568" s="34">
        <f>IF(AQ568="0",BJ568,0)</f>
        <v>0</v>
      </c>
      <c r="AI568" s="28" t="s">
        <v>1021</v>
      </c>
      <c r="AJ568" s="18">
        <f>IF(AN568=0,K568,0)</f>
        <v>0</v>
      </c>
      <c r="AK568" s="18">
        <f>IF(AN568=15,K568,0)</f>
        <v>0</v>
      </c>
      <c r="AL568" s="18">
        <f>IF(AN568=21,K568,0)</f>
        <v>0</v>
      </c>
      <c r="AN568" s="34">
        <v>21</v>
      </c>
      <c r="AO568" s="34">
        <f>H568*0</f>
        <v>0</v>
      </c>
      <c r="AP568" s="34">
        <f>H568*(1-0)</f>
        <v>0</v>
      </c>
      <c r="AQ568" s="29" t="s">
        <v>10</v>
      </c>
      <c r="AV568" s="34">
        <f>AW568+AX568</f>
        <v>0</v>
      </c>
      <c r="AW568" s="34">
        <f>G568*AO568</f>
        <v>0</v>
      </c>
      <c r="AX568" s="34">
        <f>G568*AP568</f>
        <v>0</v>
      </c>
      <c r="AY568" s="35" t="s">
        <v>1039</v>
      </c>
      <c r="AZ568" s="35" t="s">
        <v>1078</v>
      </c>
      <c r="BA568" s="28" t="s">
        <v>1086</v>
      </c>
      <c r="BC568" s="34">
        <f>AW568+AX568</f>
        <v>0</v>
      </c>
      <c r="BD568" s="34">
        <f>H568/(100-BE568)*100</f>
        <v>0</v>
      </c>
      <c r="BE568" s="34">
        <v>0</v>
      </c>
      <c r="BF568" s="34">
        <f>568</f>
        <v>568</v>
      </c>
      <c r="BH568" s="18">
        <f>G568*AO568</f>
        <v>0</v>
      </c>
      <c r="BI568" s="18">
        <f>G568*AP568</f>
        <v>0</v>
      </c>
      <c r="BJ568" s="18">
        <f>G568*H568</f>
        <v>0</v>
      </c>
    </row>
    <row r="569" spans="3:7" ht="12.75">
      <c r="C569" s="101" t="s">
        <v>666</v>
      </c>
      <c r="D569" s="102"/>
      <c r="E569" s="102"/>
      <c r="G569" s="64">
        <v>0.027</v>
      </c>
    </row>
    <row r="570" spans="1:62" ht="12.75">
      <c r="A570" s="5" t="s">
        <v>226</v>
      </c>
      <c r="B570" s="5" t="s">
        <v>390</v>
      </c>
      <c r="C570" s="99" t="s">
        <v>667</v>
      </c>
      <c r="D570" s="100"/>
      <c r="E570" s="100"/>
      <c r="F570" s="5" t="s">
        <v>988</v>
      </c>
      <c r="G570" s="63">
        <v>3</v>
      </c>
      <c r="H570" s="18">
        <v>0</v>
      </c>
      <c r="I570" s="18">
        <f>G570*AO570</f>
        <v>0</v>
      </c>
      <c r="J570" s="18">
        <f>G570*AP570</f>
        <v>0</v>
      </c>
      <c r="K570" s="18">
        <f>G570*H570</f>
        <v>0</v>
      </c>
      <c r="L570" s="29"/>
      <c r="Z570" s="34">
        <f>IF(AQ570="5",BJ570,0)</f>
        <v>0</v>
      </c>
      <c r="AB570" s="34">
        <f>IF(AQ570="1",BH570,0)</f>
        <v>0</v>
      </c>
      <c r="AC570" s="34">
        <f>IF(AQ570="1",BI570,0)</f>
        <v>0</v>
      </c>
      <c r="AD570" s="34">
        <f>IF(AQ570="7",BH570,0)</f>
        <v>0</v>
      </c>
      <c r="AE570" s="34">
        <f>IF(AQ570="7",BI570,0)</f>
        <v>0</v>
      </c>
      <c r="AF570" s="34">
        <f>IF(AQ570="2",BH570,0)</f>
        <v>0</v>
      </c>
      <c r="AG570" s="34">
        <f>IF(AQ570="2",BI570,0)</f>
        <v>0</v>
      </c>
      <c r="AH570" s="34">
        <f>IF(AQ570="0",BJ570,0)</f>
        <v>0</v>
      </c>
      <c r="AI570" s="28" t="s">
        <v>1021</v>
      </c>
      <c r="AJ570" s="18">
        <f>IF(AN570=0,K570,0)</f>
        <v>0</v>
      </c>
      <c r="AK570" s="18">
        <f>IF(AN570=15,K570,0)</f>
        <v>0</v>
      </c>
      <c r="AL570" s="18">
        <f>IF(AN570=21,K570,0)</f>
        <v>0</v>
      </c>
      <c r="AN570" s="34">
        <v>21</v>
      </c>
      <c r="AO570" s="34">
        <f>H570*0.103828125</f>
        <v>0</v>
      </c>
      <c r="AP570" s="34">
        <f>H570*(1-0.103828125)</f>
        <v>0</v>
      </c>
      <c r="AQ570" s="29" t="s">
        <v>12</v>
      </c>
      <c r="AV570" s="34">
        <f>AW570+AX570</f>
        <v>0</v>
      </c>
      <c r="AW570" s="34">
        <f>G570*AO570</f>
        <v>0</v>
      </c>
      <c r="AX570" s="34">
        <f>G570*AP570</f>
        <v>0</v>
      </c>
      <c r="AY570" s="35" t="s">
        <v>1039</v>
      </c>
      <c r="AZ570" s="35" t="s">
        <v>1078</v>
      </c>
      <c r="BA570" s="28" t="s">
        <v>1086</v>
      </c>
      <c r="BC570" s="34">
        <f>AW570+AX570</f>
        <v>0</v>
      </c>
      <c r="BD570" s="34">
        <f>H570/(100-BE570)*100</f>
        <v>0</v>
      </c>
      <c r="BE570" s="34">
        <v>0</v>
      </c>
      <c r="BF570" s="34">
        <f>570</f>
        <v>570</v>
      </c>
      <c r="BH570" s="18">
        <f>G570*AO570</f>
        <v>0</v>
      </c>
      <c r="BI570" s="18">
        <f>G570*AP570</f>
        <v>0</v>
      </c>
      <c r="BJ570" s="18">
        <f>G570*H570</f>
        <v>0</v>
      </c>
    </row>
    <row r="571" spans="3:7" ht="12.75">
      <c r="C571" s="101" t="s">
        <v>8</v>
      </c>
      <c r="D571" s="102"/>
      <c r="E571" s="102"/>
      <c r="G571" s="64">
        <v>3</v>
      </c>
    </row>
    <row r="572" spans="1:47" ht="12.75">
      <c r="A572" s="4"/>
      <c r="B572" s="14" t="s">
        <v>391</v>
      </c>
      <c r="C572" s="97" t="s">
        <v>668</v>
      </c>
      <c r="D572" s="98"/>
      <c r="E572" s="98"/>
      <c r="F572" s="4" t="s">
        <v>5</v>
      </c>
      <c r="G572" s="4" t="s">
        <v>5</v>
      </c>
      <c r="H572" s="4" t="s">
        <v>5</v>
      </c>
      <c r="I572" s="37">
        <f>SUM(I573:I594)</f>
        <v>0</v>
      </c>
      <c r="J572" s="37">
        <f>SUM(J573:J594)</f>
        <v>0</v>
      </c>
      <c r="K572" s="37">
        <f>SUM(K573:K594)</f>
        <v>0</v>
      </c>
      <c r="L572" s="28"/>
      <c r="AI572" s="28" t="s">
        <v>1021</v>
      </c>
      <c r="AS572" s="37">
        <f>SUM(AJ573:AJ594)</f>
        <v>0</v>
      </c>
      <c r="AT572" s="37">
        <f>SUM(AK573:AK594)</f>
        <v>0</v>
      </c>
      <c r="AU572" s="37">
        <f>SUM(AL573:AL594)</f>
        <v>0</v>
      </c>
    </row>
    <row r="573" spans="1:62" ht="12.75">
      <c r="A573" s="5" t="s">
        <v>227</v>
      </c>
      <c r="B573" s="5" t="s">
        <v>392</v>
      </c>
      <c r="C573" s="99" t="s">
        <v>669</v>
      </c>
      <c r="D573" s="100"/>
      <c r="E573" s="100"/>
      <c r="F573" s="5" t="s">
        <v>984</v>
      </c>
      <c r="G573" s="63">
        <v>17.82</v>
      </c>
      <c r="H573" s="18">
        <v>0</v>
      </c>
      <c r="I573" s="18">
        <f>G573*AO573</f>
        <v>0</v>
      </c>
      <c r="J573" s="18">
        <f>G573*AP573</f>
        <v>0</v>
      </c>
      <c r="K573" s="18">
        <f>G573*H573</f>
        <v>0</v>
      </c>
      <c r="L573" s="29"/>
      <c r="Z573" s="34">
        <f>IF(AQ573="5",BJ573,0)</f>
        <v>0</v>
      </c>
      <c r="AB573" s="34">
        <f>IF(AQ573="1",BH573,0)</f>
        <v>0</v>
      </c>
      <c r="AC573" s="34">
        <f>IF(AQ573="1",BI573,0)</f>
        <v>0</v>
      </c>
      <c r="AD573" s="34">
        <f>IF(AQ573="7",BH573,0)</f>
        <v>0</v>
      </c>
      <c r="AE573" s="34">
        <f>IF(AQ573="7",BI573,0)</f>
        <v>0</v>
      </c>
      <c r="AF573" s="34">
        <f>IF(AQ573="2",BH573,0)</f>
        <v>0</v>
      </c>
      <c r="AG573" s="34">
        <f>IF(AQ573="2",BI573,0)</f>
        <v>0</v>
      </c>
      <c r="AH573" s="34">
        <f>IF(AQ573="0",BJ573,0)</f>
        <v>0</v>
      </c>
      <c r="AI573" s="28" t="s">
        <v>1021</v>
      </c>
      <c r="AJ573" s="18">
        <f>IF(AN573=0,K573,0)</f>
        <v>0</v>
      </c>
      <c r="AK573" s="18">
        <f>IF(AN573=15,K573,0)</f>
        <v>0</v>
      </c>
      <c r="AL573" s="18">
        <f>IF(AN573=21,K573,0)</f>
        <v>0</v>
      </c>
      <c r="AN573" s="34">
        <v>21</v>
      </c>
      <c r="AO573" s="34">
        <f>H573*0.477161430119177</f>
        <v>0</v>
      </c>
      <c r="AP573" s="34">
        <f>H573*(1-0.477161430119177)</f>
        <v>0</v>
      </c>
      <c r="AQ573" s="29" t="s">
        <v>12</v>
      </c>
      <c r="AV573" s="34">
        <f>AW573+AX573</f>
        <v>0</v>
      </c>
      <c r="AW573" s="34">
        <f>G573*AO573</f>
        <v>0</v>
      </c>
      <c r="AX573" s="34">
        <f>G573*AP573</f>
        <v>0</v>
      </c>
      <c r="AY573" s="35" t="s">
        <v>1040</v>
      </c>
      <c r="AZ573" s="35" t="s">
        <v>1079</v>
      </c>
      <c r="BA573" s="28" t="s">
        <v>1086</v>
      </c>
      <c r="BC573" s="34">
        <f>AW573+AX573</f>
        <v>0</v>
      </c>
      <c r="BD573" s="34">
        <f>H573/(100-BE573)*100</f>
        <v>0</v>
      </c>
      <c r="BE573" s="34">
        <v>0</v>
      </c>
      <c r="BF573" s="34">
        <f>573</f>
        <v>573</v>
      </c>
      <c r="BH573" s="18">
        <f>G573*AO573</f>
        <v>0</v>
      </c>
      <c r="BI573" s="18">
        <f>G573*AP573</f>
        <v>0</v>
      </c>
      <c r="BJ573" s="18">
        <f>G573*H573</f>
        <v>0</v>
      </c>
    </row>
    <row r="574" spans="3:7" ht="12.75">
      <c r="C574" s="101" t="s">
        <v>624</v>
      </c>
      <c r="D574" s="102"/>
      <c r="E574" s="102"/>
      <c r="G574" s="64">
        <v>17.82</v>
      </c>
    </row>
    <row r="575" spans="1:62" ht="12.75">
      <c r="A575" s="5" t="s">
        <v>228</v>
      </c>
      <c r="B575" s="5" t="s">
        <v>394</v>
      </c>
      <c r="C575" s="99" t="s">
        <v>672</v>
      </c>
      <c r="D575" s="100"/>
      <c r="E575" s="100"/>
      <c r="F575" s="5" t="s">
        <v>986</v>
      </c>
      <c r="G575" s="63">
        <v>44.55</v>
      </c>
      <c r="H575" s="18">
        <v>0</v>
      </c>
      <c r="I575" s="18">
        <f>G575*AO575</f>
        <v>0</v>
      </c>
      <c r="J575" s="18">
        <f>G575*AP575</f>
        <v>0</v>
      </c>
      <c r="K575" s="18">
        <f>G575*H575</f>
        <v>0</v>
      </c>
      <c r="L575" s="29"/>
      <c r="Z575" s="34">
        <f>IF(AQ575="5",BJ575,0)</f>
        <v>0</v>
      </c>
      <c r="AB575" s="34">
        <f>IF(AQ575="1",BH575,0)</f>
        <v>0</v>
      </c>
      <c r="AC575" s="34">
        <f>IF(AQ575="1",BI575,0)</f>
        <v>0</v>
      </c>
      <c r="AD575" s="34">
        <f>IF(AQ575="7",BH575,0)</f>
        <v>0</v>
      </c>
      <c r="AE575" s="34">
        <f>IF(AQ575="7",BI575,0)</f>
        <v>0</v>
      </c>
      <c r="AF575" s="34">
        <f>IF(AQ575="2",BH575,0)</f>
        <v>0</v>
      </c>
      <c r="AG575" s="34">
        <f>IF(AQ575="2",BI575,0)</f>
        <v>0</v>
      </c>
      <c r="AH575" s="34">
        <f>IF(AQ575="0",BJ575,0)</f>
        <v>0</v>
      </c>
      <c r="AI575" s="28" t="s">
        <v>1021</v>
      </c>
      <c r="AJ575" s="18">
        <f>IF(AN575=0,K575,0)</f>
        <v>0</v>
      </c>
      <c r="AK575" s="18">
        <f>IF(AN575=15,K575,0)</f>
        <v>0</v>
      </c>
      <c r="AL575" s="18">
        <f>IF(AN575=21,K575,0)</f>
        <v>0</v>
      </c>
      <c r="AN575" s="34">
        <v>21</v>
      </c>
      <c r="AO575" s="34">
        <f>H575*0</f>
        <v>0</v>
      </c>
      <c r="AP575" s="34">
        <f>H575*(1-0)</f>
        <v>0</v>
      </c>
      <c r="AQ575" s="29" t="s">
        <v>12</v>
      </c>
      <c r="AV575" s="34">
        <f>AW575+AX575</f>
        <v>0</v>
      </c>
      <c r="AW575" s="34">
        <f>G575*AO575</f>
        <v>0</v>
      </c>
      <c r="AX575" s="34">
        <f>G575*AP575</f>
        <v>0</v>
      </c>
      <c r="AY575" s="35" t="s">
        <v>1040</v>
      </c>
      <c r="AZ575" s="35" t="s">
        <v>1079</v>
      </c>
      <c r="BA575" s="28" t="s">
        <v>1086</v>
      </c>
      <c r="BC575" s="34">
        <f>AW575+AX575</f>
        <v>0</v>
      </c>
      <c r="BD575" s="34">
        <f>H575/(100-BE575)*100</f>
        <v>0</v>
      </c>
      <c r="BE575" s="34">
        <v>0</v>
      </c>
      <c r="BF575" s="34">
        <f>575</f>
        <v>575</v>
      </c>
      <c r="BH575" s="18">
        <f>G575*AO575</f>
        <v>0</v>
      </c>
      <c r="BI575" s="18">
        <f>G575*AP575</f>
        <v>0</v>
      </c>
      <c r="BJ575" s="18">
        <f>G575*H575</f>
        <v>0</v>
      </c>
    </row>
    <row r="576" spans="3:7" ht="12.75">
      <c r="C576" s="101" t="s">
        <v>673</v>
      </c>
      <c r="D576" s="102"/>
      <c r="E576" s="102"/>
      <c r="G576" s="64">
        <v>44.55</v>
      </c>
    </row>
    <row r="577" spans="1:62" ht="12.75">
      <c r="A577" s="5" t="s">
        <v>229</v>
      </c>
      <c r="B577" s="5" t="s">
        <v>393</v>
      </c>
      <c r="C577" s="99" t="s">
        <v>889</v>
      </c>
      <c r="D577" s="100"/>
      <c r="E577" s="100"/>
      <c r="F577" s="5" t="s">
        <v>985</v>
      </c>
      <c r="G577" s="63">
        <v>0.662</v>
      </c>
      <c r="H577" s="18">
        <v>0</v>
      </c>
      <c r="I577" s="18">
        <f>G577*AO577</f>
        <v>0</v>
      </c>
      <c r="J577" s="18">
        <f>G577*AP577</f>
        <v>0</v>
      </c>
      <c r="K577" s="18">
        <f>G577*H577</f>
        <v>0</v>
      </c>
      <c r="L577" s="29"/>
      <c r="Z577" s="34">
        <f>IF(AQ577="5",BJ577,0)</f>
        <v>0</v>
      </c>
      <c r="AB577" s="34">
        <f>IF(AQ577="1",BH577,0)</f>
        <v>0</v>
      </c>
      <c r="AC577" s="34">
        <f>IF(AQ577="1",BI577,0)</f>
        <v>0</v>
      </c>
      <c r="AD577" s="34">
        <f>IF(AQ577="7",BH577,0)</f>
        <v>0</v>
      </c>
      <c r="AE577" s="34">
        <f>IF(AQ577="7",BI577,0)</f>
        <v>0</v>
      </c>
      <c r="AF577" s="34">
        <f>IF(AQ577="2",BH577,0)</f>
        <v>0</v>
      </c>
      <c r="AG577" s="34">
        <f>IF(AQ577="2",BI577,0)</f>
        <v>0</v>
      </c>
      <c r="AH577" s="34">
        <f>IF(AQ577="0",BJ577,0)</f>
        <v>0</v>
      </c>
      <c r="AI577" s="28" t="s">
        <v>1021</v>
      </c>
      <c r="AJ577" s="18">
        <f>IF(AN577=0,K577,0)</f>
        <v>0</v>
      </c>
      <c r="AK577" s="18">
        <f>IF(AN577=15,K577,0)</f>
        <v>0</v>
      </c>
      <c r="AL577" s="18">
        <f>IF(AN577=21,K577,0)</f>
        <v>0</v>
      </c>
      <c r="AN577" s="34">
        <v>21</v>
      </c>
      <c r="AO577" s="34">
        <f>H577*0.991035242290749</f>
        <v>0</v>
      </c>
      <c r="AP577" s="34">
        <f>H577*(1-0.991035242290749)</f>
        <v>0</v>
      </c>
      <c r="AQ577" s="29" t="s">
        <v>12</v>
      </c>
      <c r="AV577" s="34">
        <f>AW577+AX577</f>
        <v>0</v>
      </c>
      <c r="AW577" s="34">
        <f>G577*AO577</f>
        <v>0</v>
      </c>
      <c r="AX577" s="34">
        <f>G577*AP577</f>
        <v>0</v>
      </c>
      <c r="AY577" s="35" t="s">
        <v>1040</v>
      </c>
      <c r="AZ577" s="35" t="s">
        <v>1079</v>
      </c>
      <c r="BA577" s="28" t="s">
        <v>1086</v>
      </c>
      <c r="BC577" s="34">
        <f>AW577+AX577</f>
        <v>0</v>
      </c>
      <c r="BD577" s="34">
        <f>H577/(100-BE577)*100</f>
        <v>0</v>
      </c>
      <c r="BE577" s="34">
        <v>0</v>
      </c>
      <c r="BF577" s="34">
        <f>577</f>
        <v>577</v>
      </c>
      <c r="BH577" s="18">
        <f>G577*AO577</f>
        <v>0</v>
      </c>
      <c r="BI577" s="18">
        <f>G577*AP577</f>
        <v>0</v>
      </c>
      <c r="BJ577" s="18">
        <f>G577*H577</f>
        <v>0</v>
      </c>
    </row>
    <row r="578" spans="3:7" ht="12.75">
      <c r="C578" s="101" t="s">
        <v>890</v>
      </c>
      <c r="D578" s="102"/>
      <c r="E578" s="102"/>
      <c r="G578" s="64">
        <v>0.662</v>
      </c>
    </row>
    <row r="579" spans="1:62" ht="12.75">
      <c r="A579" s="5" t="s">
        <v>230</v>
      </c>
      <c r="B579" s="5" t="s">
        <v>395</v>
      </c>
      <c r="C579" s="99" t="s">
        <v>674</v>
      </c>
      <c r="D579" s="100"/>
      <c r="E579" s="100"/>
      <c r="F579" s="5" t="s">
        <v>985</v>
      </c>
      <c r="G579" s="63">
        <v>0.983</v>
      </c>
      <c r="H579" s="18">
        <v>0</v>
      </c>
      <c r="I579" s="18">
        <f>G579*AO579</f>
        <v>0</v>
      </c>
      <c r="J579" s="18">
        <f>G579*AP579</f>
        <v>0</v>
      </c>
      <c r="K579" s="18">
        <f>G579*H579</f>
        <v>0</v>
      </c>
      <c r="L579" s="29"/>
      <c r="Z579" s="34">
        <f>IF(AQ579="5",BJ579,0)</f>
        <v>0</v>
      </c>
      <c r="AB579" s="34">
        <f>IF(AQ579="1",BH579,0)</f>
        <v>0</v>
      </c>
      <c r="AC579" s="34">
        <f>IF(AQ579="1",BI579,0)</f>
        <v>0</v>
      </c>
      <c r="AD579" s="34">
        <f>IF(AQ579="7",BH579,0)</f>
        <v>0</v>
      </c>
      <c r="AE579" s="34">
        <f>IF(AQ579="7",BI579,0)</f>
        <v>0</v>
      </c>
      <c r="AF579" s="34">
        <f>IF(AQ579="2",BH579,0)</f>
        <v>0</v>
      </c>
      <c r="AG579" s="34">
        <f>IF(AQ579="2",BI579,0)</f>
        <v>0</v>
      </c>
      <c r="AH579" s="34">
        <f>IF(AQ579="0",BJ579,0)</f>
        <v>0</v>
      </c>
      <c r="AI579" s="28" t="s">
        <v>1021</v>
      </c>
      <c r="AJ579" s="18">
        <f>IF(AN579=0,K579,0)</f>
        <v>0</v>
      </c>
      <c r="AK579" s="18">
        <f>IF(AN579=15,K579,0)</f>
        <v>0</v>
      </c>
      <c r="AL579" s="18">
        <f>IF(AN579=21,K579,0)</f>
        <v>0</v>
      </c>
      <c r="AN579" s="34">
        <v>21</v>
      </c>
      <c r="AO579" s="34">
        <f>H579*1.00000149163565</f>
        <v>0</v>
      </c>
      <c r="AP579" s="34">
        <f>H579*(1-1.00000149163565)</f>
        <v>0</v>
      </c>
      <c r="AQ579" s="29" t="s">
        <v>12</v>
      </c>
      <c r="AV579" s="34">
        <f>AW579+AX579</f>
        <v>0</v>
      </c>
      <c r="AW579" s="34">
        <f>G579*AO579</f>
        <v>0</v>
      </c>
      <c r="AX579" s="34">
        <f>G579*AP579</f>
        <v>0</v>
      </c>
      <c r="AY579" s="35" t="s">
        <v>1040</v>
      </c>
      <c r="AZ579" s="35" t="s">
        <v>1079</v>
      </c>
      <c r="BA579" s="28" t="s">
        <v>1086</v>
      </c>
      <c r="BC579" s="34">
        <f>AW579+AX579</f>
        <v>0</v>
      </c>
      <c r="BD579" s="34">
        <f>H579/(100-BE579)*100</f>
        <v>0</v>
      </c>
      <c r="BE579" s="34">
        <v>0</v>
      </c>
      <c r="BF579" s="34">
        <f>579</f>
        <v>579</v>
      </c>
      <c r="BH579" s="18">
        <f>G579*AO579</f>
        <v>0</v>
      </c>
      <c r="BI579" s="18">
        <f>G579*AP579</f>
        <v>0</v>
      </c>
      <c r="BJ579" s="18">
        <f>G579*H579</f>
        <v>0</v>
      </c>
    </row>
    <row r="580" spans="3:7" ht="12.75">
      <c r="C580" s="101" t="s">
        <v>891</v>
      </c>
      <c r="D580" s="102"/>
      <c r="E580" s="102"/>
      <c r="G580" s="64">
        <v>0.983</v>
      </c>
    </row>
    <row r="581" spans="1:62" ht="12.75">
      <c r="A581" s="5" t="s">
        <v>231</v>
      </c>
      <c r="B581" s="5" t="s">
        <v>489</v>
      </c>
      <c r="C581" s="99" t="s">
        <v>892</v>
      </c>
      <c r="D581" s="100"/>
      <c r="E581" s="100"/>
      <c r="F581" s="5" t="s">
        <v>984</v>
      </c>
      <c r="G581" s="63">
        <v>8.719</v>
      </c>
      <c r="H581" s="18">
        <v>0</v>
      </c>
      <c r="I581" s="18">
        <f>G581*AO581</f>
        <v>0</v>
      </c>
      <c r="J581" s="18">
        <f>G581*AP581</f>
        <v>0</v>
      </c>
      <c r="K581" s="18">
        <f>G581*H581</f>
        <v>0</v>
      </c>
      <c r="L581" s="29"/>
      <c r="Z581" s="34">
        <f>IF(AQ581="5",BJ581,0)</f>
        <v>0</v>
      </c>
      <c r="AB581" s="34">
        <f>IF(AQ581="1",BH581,0)</f>
        <v>0</v>
      </c>
      <c r="AC581" s="34">
        <f>IF(AQ581="1",BI581,0)</f>
        <v>0</v>
      </c>
      <c r="AD581" s="34">
        <f>IF(AQ581="7",BH581,0)</f>
        <v>0</v>
      </c>
      <c r="AE581" s="34">
        <f>IF(AQ581="7",BI581,0)</f>
        <v>0</v>
      </c>
      <c r="AF581" s="34">
        <f>IF(AQ581="2",BH581,0)</f>
        <v>0</v>
      </c>
      <c r="AG581" s="34">
        <f>IF(AQ581="2",BI581,0)</f>
        <v>0</v>
      </c>
      <c r="AH581" s="34">
        <f>IF(AQ581="0",BJ581,0)</f>
        <v>0</v>
      </c>
      <c r="AI581" s="28" t="s">
        <v>1021</v>
      </c>
      <c r="AJ581" s="18">
        <f>IF(AN581=0,K581,0)</f>
        <v>0</v>
      </c>
      <c r="AK581" s="18">
        <f>IF(AN581=15,K581,0)</f>
        <v>0</v>
      </c>
      <c r="AL581" s="18">
        <f>IF(AN581=21,K581,0)</f>
        <v>0</v>
      </c>
      <c r="AN581" s="34">
        <v>21</v>
      </c>
      <c r="AO581" s="34">
        <f>H581*0</f>
        <v>0</v>
      </c>
      <c r="AP581" s="34">
        <f>H581*(1-0)</f>
        <v>0</v>
      </c>
      <c r="AQ581" s="29" t="s">
        <v>12</v>
      </c>
      <c r="AV581" s="34">
        <f>AW581+AX581</f>
        <v>0</v>
      </c>
      <c r="AW581" s="34">
        <f>G581*AO581</f>
        <v>0</v>
      </c>
      <c r="AX581" s="34">
        <f>G581*AP581</f>
        <v>0</v>
      </c>
      <c r="AY581" s="35" t="s">
        <v>1040</v>
      </c>
      <c r="AZ581" s="35" t="s">
        <v>1079</v>
      </c>
      <c r="BA581" s="28" t="s">
        <v>1086</v>
      </c>
      <c r="BC581" s="34">
        <f>AW581+AX581</f>
        <v>0</v>
      </c>
      <c r="BD581" s="34">
        <f>H581/(100-BE581)*100</f>
        <v>0</v>
      </c>
      <c r="BE581" s="34">
        <v>0</v>
      </c>
      <c r="BF581" s="34">
        <f>581</f>
        <v>581</v>
      </c>
      <c r="BH581" s="18">
        <f>G581*AO581</f>
        <v>0</v>
      </c>
      <c r="BI581" s="18">
        <f>G581*AP581</f>
        <v>0</v>
      </c>
      <c r="BJ581" s="18">
        <f>G581*H581</f>
        <v>0</v>
      </c>
    </row>
    <row r="582" spans="3:7" ht="12.75">
      <c r="C582" s="101" t="s">
        <v>893</v>
      </c>
      <c r="D582" s="102"/>
      <c r="E582" s="102"/>
      <c r="G582" s="64">
        <v>8.719</v>
      </c>
    </row>
    <row r="583" spans="1:62" ht="12.75">
      <c r="A583" s="6" t="s">
        <v>232</v>
      </c>
      <c r="B583" s="6" t="s">
        <v>396</v>
      </c>
      <c r="C583" s="103" t="s">
        <v>676</v>
      </c>
      <c r="D583" s="104"/>
      <c r="E583" s="104"/>
      <c r="F583" s="6" t="s">
        <v>985</v>
      </c>
      <c r="G583" s="65">
        <v>0.184</v>
      </c>
      <c r="H583" s="19">
        <v>0</v>
      </c>
      <c r="I583" s="19">
        <f>G583*AO583</f>
        <v>0</v>
      </c>
      <c r="J583" s="19">
        <f>G583*AP583</f>
        <v>0</v>
      </c>
      <c r="K583" s="19">
        <f>G583*H583</f>
        <v>0</v>
      </c>
      <c r="L583" s="30"/>
      <c r="Z583" s="34">
        <f>IF(AQ583="5",BJ583,0)</f>
        <v>0</v>
      </c>
      <c r="AB583" s="34">
        <f>IF(AQ583="1",BH583,0)</f>
        <v>0</v>
      </c>
      <c r="AC583" s="34">
        <f>IF(AQ583="1",BI583,0)</f>
        <v>0</v>
      </c>
      <c r="AD583" s="34">
        <f>IF(AQ583="7",BH583,0)</f>
        <v>0</v>
      </c>
      <c r="AE583" s="34">
        <f>IF(AQ583="7",BI583,0)</f>
        <v>0</v>
      </c>
      <c r="AF583" s="34">
        <f>IF(AQ583="2",BH583,0)</f>
        <v>0</v>
      </c>
      <c r="AG583" s="34">
        <f>IF(AQ583="2",BI583,0)</f>
        <v>0</v>
      </c>
      <c r="AH583" s="34">
        <f>IF(AQ583="0",BJ583,0)</f>
        <v>0</v>
      </c>
      <c r="AI583" s="28" t="s">
        <v>1021</v>
      </c>
      <c r="AJ583" s="19">
        <f>IF(AN583=0,K583,0)</f>
        <v>0</v>
      </c>
      <c r="AK583" s="19">
        <f>IF(AN583=15,K583,0)</f>
        <v>0</v>
      </c>
      <c r="AL583" s="19">
        <f>IF(AN583=21,K583,0)</f>
        <v>0</v>
      </c>
      <c r="AN583" s="34">
        <v>21</v>
      </c>
      <c r="AO583" s="34">
        <f>H583*1</f>
        <v>0</v>
      </c>
      <c r="AP583" s="34">
        <f>H583*(1-1)</f>
        <v>0</v>
      </c>
      <c r="AQ583" s="30" t="s">
        <v>12</v>
      </c>
      <c r="AV583" s="34">
        <f>AW583+AX583</f>
        <v>0</v>
      </c>
      <c r="AW583" s="34">
        <f>G583*AO583</f>
        <v>0</v>
      </c>
      <c r="AX583" s="34">
        <f>G583*AP583</f>
        <v>0</v>
      </c>
      <c r="AY583" s="35" t="s">
        <v>1040</v>
      </c>
      <c r="AZ583" s="35" t="s">
        <v>1079</v>
      </c>
      <c r="BA583" s="28" t="s">
        <v>1086</v>
      </c>
      <c r="BC583" s="34">
        <f>AW583+AX583</f>
        <v>0</v>
      </c>
      <c r="BD583" s="34">
        <f>H583/(100-BE583)*100</f>
        <v>0</v>
      </c>
      <c r="BE583" s="34">
        <v>0</v>
      </c>
      <c r="BF583" s="34">
        <f>583</f>
        <v>583</v>
      </c>
      <c r="BH583" s="19">
        <f>G583*AO583</f>
        <v>0</v>
      </c>
      <c r="BI583" s="19">
        <f>G583*AP583</f>
        <v>0</v>
      </c>
      <c r="BJ583" s="19">
        <f>G583*H583</f>
        <v>0</v>
      </c>
    </row>
    <row r="584" spans="3:7" ht="12.75">
      <c r="C584" s="101" t="s">
        <v>677</v>
      </c>
      <c r="D584" s="102"/>
      <c r="E584" s="102"/>
      <c r="G584" s="64">
        <v>0.16</v>
      </c>
    </row>
    <row r="585" spans="3:7" ht="12.75">
      <c r="C585" s="101" t="s">
        <v>678</v>
      </c>
      <c r="D585" s="102"/>
      <c r="E585" s="102"/>
      <c r="G585" s="64">
        <v>0.024</v>
      </c>
    </row>
    <row r="586" spans="1:62" ht="12.75">
      <c r="A586" s="5" t="s">
        <v>233</v>
      </c>
      <c r="B586" s="5" t="s">
        <v>397</v>
      </c>
      <c r="C586" s="99" t="s">
        <v>679</v>
      </c>
      <c r="D586" s="100"/>
      <c r="E586" s="100"/>
      <c r="F586" s="5" t="s">
        <v>984</v>
      </c>
      <c r="G586" s="63">
        <v>8.64</v>
      </c>
      <c r="H586" s="18">
        <v>0</v>
      </c>
      <c r="I586" s="18">
        <f>G586*AO586</f>
        <v>0</v>
      </c>
      <c r="J586" s="18">
        <f>G586*AP586</f>
        <v>0</v>
      </c>
      <c r="K586" s="18">
        <f>G586*H586</f>
        <v>0</v>
      </c>
      <c r="L586" s="29"/>
      <c r="Z586" s="34">
        <f>IF(AQ586="5",BJ586,0)</f>
        <v>0</v>
      </c>
      <c r="AB586" s="34">
        <f>IF(AQ586="1",BH586,0)</f>
        <v>0</v>
      </c>
      <c r="AC586" s="34">
        <f>IF(AQ586="1",BI586,0)</f>
        <v>0</v>
      </c>
      <c r="AD586" s="34">
        <f>IF(AQ586="7",BH586,0)</f>
        <v>0</v>
      </c>
      <c r="AE586" s="34">
        <f>IF(AQ586="7",BI586,0)</f>
        <v>0</v>
      </c>
      <c r="AF586" s="34">
        <f>IF(AQ586="2",BH586,0)</f>
        <v>0</v>
      </c>
      <c r="AG586" s="34">
        <f>IF(AQ586="2",BI586,0)</f>
        <v>0</v>
      </c>
      <c r="AH586" s="34">
        <f>IF(AQ586="0",BJ586,0)</f>
        <v>0</v>
      </c>
      <c r="AI586" s="28" t="s">
        <v>1021</v>
      </c>
      <c r="AJ586" s="18">
        <f>IF(AN586=0,K586,0)</f>
        <v>0</v>
      </c>
      <c r="AK586" s="18">
        <f>IF(AN586=15,K586,0)</f>
        <v>0</v>
      </c>
      <c r="AL586" s="18">
        <f>IF(AN586=21,K586,0)</f>
        <v>0</v>
      </c>
      <c r="AN586" s="34">
        <v>21</v>
      </c>
      <c r="AO586" s="34">
        <f>H586*0.547014925373134</f>
        <v>0</v>
      </c>
      <c r="AP586" s="34">
        <f>H586*(1-0.547014925373134)</f>
        <v>0</v>
      </c>
      <c r="AQ586" s="29" t="s">
        <v>12</v>
      </c>
      <c r="AV586" s="34">
        <f>AW586+AX586</f>
        <v>0</v>
      </c>
      <c r="AW586" s="34">
        <f>G586*AO586</f>
        <v>0</v>
      </c>
      <c r="AX586" s="34">
        <f>G586*AP586</f>
        <v>0</v>
      </c>
      <c r="AY586" s="35" t="s">
        <v>1040</v>
      </c>
      <c r="AZ586" s="35" t="s">
        <v>1079</v>
      </c>
      <c r="BA586" s="28" t="s">
        <v>1086</v>
      </c>
      <c r="BC586" s="34">
        <f>AW586+AX586</f>
        <v>0</v>
      </c>
      <c r="BD586" s="34">
        <f>H586/(100-BE586)*100</f>
        <v>0</v>
      </c>
      <c r="BE586" s="34">
        <v>0</v>
      </c>
      <c r="BF586" s="34">
        <f>586</f>
        <v>586</v>
      </c>
      <c r="BH586" s="18">
        <f>G586*AO586</f>
        <v>0</v>
      </c>
      <c r="BI586" s="18">
        <f>G586*AP586</f>
        <v>0</v>
      </c>
      <c r="BJ586" s="18">
        <f>G586*H586</f>
        <v>0</v>
      </c>
    </row>
    <row r="587" spans="3:7" ht="12.75">
      <c r="C587" s="101" t="s">
        <v>680</v>
      </c>
      <c r="D587" s="102"/>
      <c r="E587" s="102"/>
      <c r="G587" s="64">
        <v>8.64</v>
      </c>
    </row>
    <row r="588" spans="1:62" ht="12.75">
      <c r="A588" s="5" t="s">
        <v>234</v>
      </c>
      <c r="B588" s="5" t="s">
        <v>398</v>
      </c>
      <c r="C588" s="99" t="s">
        <v>681</v>
      </c>
      <c r="D588" s="100"/>
      <c r="E588" s="100"/>
      <c r="F588" s="5" t="s">
        <v>986</v>
      </c>
      <c r="G588" s="63">
        <v>29.52</v>
      </c>
      <c r="H588" s="18">
        <v>0</v>
      </c>
      <c r="I588" s="18">
        <f>G588*AO588</f>
        <v>0</v>
      </c>
      <c r="J588" s="18">
        <f>G588*AP588</f>
        <v>0</v>
      </c>
      <c r="K588" s="18">
        <f>G588*H588</f>
        <v>0</v>
      </c>
      <c r="L588" s="29"/>
      <c r="Z588" s="34">
        <f>IF(AQ588="5",BJ588,0)</f>
        <v>0</v>
      </c>
      <c r="AB588" s="34">
        <f>IF(AQ588="1",BH588,0)</f>
        <v>0</v>
      </c>
      <c r="AC588" s="34">
        <f>IF(AQ588="1",BI588,0)</f>
        <v>0</v>
      </c>
      <c r="AD588" s="34">
        <f>IF(AQ588="7",BH588,0)</f>
        <v>0</v>
      </c>
      <c r="AE588" s="34">
        <f>IF(AQ588="7",BI588,0)</f>
        <v>0</v>
      </c>
      <c r="AF588" s="34">
        <f>IF(AQ588="2",BH588,0)</f>
        <v>0</v>
      </c>
      <c r="AG588" s="34">
        <f>IF(AQ588="2",BI588,0)</f>
        <v>0</v>
      </c>
      <c r="AH588" s="34">
        <f>IF(AQ588="0",BJ588,0)</f>
        <v>0</v>
      </c>
      <c r="AI588" s="28" t="s">
        <v>1021</v>
      </c>
      <c r="AJ588" s="18">
        <f>IF(AN588=0,K588,0)</f>
        <v>0</v>
      </c>
      <c r="AK588" s="18">
        <f>IF(AN588=15,K588,0)</f>
        <v>0</v>
      </c>
      <c r="AL588" s="18">
        <f>IF(AN588=21,K588,0)</f>
        <v>0</v>
      </c>
      <c r="AN588" s="34">
        <v>21</v>
      </c>
      <c r="AO588" s="34">
        <f>H588*0.283039014373717</f>
        <v>0</v>
      </c>
      <c r="AP588" s="34">
        <f>H588*(1-0.283039014373717)</f>
        <v>0</v>
      </c>
      <c r="AQ588" s="29" t="s">
        <v>12</v>
      </c>
      <c r="AV588" s="34">
        <f>AW588+AX588</f>
        <v>0</v>
      </c>
      <c r="AW588" s="34">
        <f>G588*AO588</f>
        <v>0</v>
      </c>
      <c r="AX588" s="34">
        <f>G588*AP588</f>
        <v>0</v>
      </c>
      <c r="AY588" s="35" t="s">
        <v>1040</v>
      </c>
      <c r="AZ588" s="35" t="s">
        <v>1079</v>
      </c>
      <c r="BA588" s="28" t="s">
        <v>1086</v>
      </c>
      <c r="BC588" s="34">
        <f>AW588+AX588</f>
        <v>0</v>
      </c>
      <c r="BD588" s="34">
        <f>H588/(100-BE588)*100</f>
        <v>0</v>
      </c>
      <c r="BE588" s="34">
        <v>0</v>
      </c>
      <c r="BF588" s="34">
        <f>588</f>
        <v>588</v>
      </c>
      <c r="BH588" s="18">
        <f>G588*AO588</f>
        <v>0</v>
      </c>
      <c r="BI588" s="18">
        <f>G588*AP588</f>
        <v>0</v>
      </c>
      <c r="BJ588" s="18">
        <f>G588*H588</f>
        <v>0</v>
      </c>
    </row>
    <row r="589" spans="3:7" ht="12.75">
      <c r="C589" s="101" t="s">
        <v>682</v>
      </c>
      <c r="D589" s="102"/>
      <c r="E589" s="102"/>
      <c r="G589" s="64">
        <v>29.52</v>
      </c>
    </row>
    <row r="590" spans="1:62" ht="12.75">
      <c r="A590" s="5" t="s">
        <v>235</v>
      </c>
      <c r="B590" s="5" t="s">
        <v>490</v>
      </c>
      <c r="C590" s="99" t="s">
        <v>894</v>
      </c>
      <c r="D590" s="100"/>
      <c r="E590" s="100"/>
      <c r="F590" s="5" t="s">
        <v>984</v>
      </c>
      <c r="G590" s="63">
        <v>6.228</v>
      </c>
      <c r="H590" s="18">
        <v>0</v>
      </c>
      <c r="I590" s="18">
        <f>G590*AO590</f>
        <v>0</v>
      </c>
      <c r="J590" s="18">
        <f>G590*AP590</f>
        <v>0</v>
      </c>
      <c r="K590" s="18">
        <f>G590*H590</f>
        <v>0</v>
      </c>
      <c r="L590" s="29"/>
      <c r="Z590" s="34">
        <f>IF(AQ590="5",BJ590,0)</f>
        <v>0</v>
      </c>
      <c r="AB590" s="34">
        <f>IF(AQ590="1",BH590,0)</f>
        <v>0</v>
      </c>
      <c r="AC590" s="34">
        <f>IF(AQ590="1",BI590,0)</f>
        <v>0</v>
      </c>
      <c r="AD590" s="34">
        <f>IF(AQ590="7",BH590,0)</f>
        <v>0</v>
      </c>
      <c r="AE590" s="34">
        <f>IF(AQ590="7",BI590,0)</f>
        <v>0</v>
      </c>
      <c r="AF590" s="34">
        <f>IF(AQ590="2",BH590,0)</f>
        <v>0</v>
      </c>
      <c r="AG590" s="34">
        <f>IF(AQ590="2",BI590,0)</f>
        <v>0</v>
      </c>
      <c r="AH590" s="34">
        <f>IF(AQ590="0",BJ590,0)</f>
        <v>0</v>
      </c>
      <c r="AI590" s="28" t="s">
        <v>1021</v>
      </c>
      <c r="AJ590" s="18">
        <f>IF(AN590=0,K590,0)</f>
        <v>0</v>
      </c>
      <c r="AK590" s="18">
        <f>IF(AN590=15,K590,0)</f>
        <v>0</v>
      </c>
      <c r="AL590" s="18">
        <f>IF(AN590=21,K590,0)</f>
        <v>0</v>
      </c>
      <c r="AN590" s="34">
        <v>21</v>
      </c>
      <c r="AO590" s="34">
        <f>H590*0</f>
        <v>0</v>
      </c>
      <c r="AP590" s="34">
        <f>H590*(1-0)</f>
        <v>0</v>
      </c>
      <c r="AQ590" s="29" t="s">
        <v>12</v>
      </c>
      <c r="AV590" s="34">
        <f>AW590+AX590</f>
        <v>0</v>
      </c>
      <c r="AW590" s="34">
        <f>G590*AO590</f>
        <v>0</v>
      </c>
      <c r="AX590" s="34">
        <f>G590*AP590</f>
        <v>0</v>
      </c>
      <c r="AY590" s="35" t="s">
        <v>1040</v>
      </c>
      <c r="AZ590" s="35" t="s">
        <v>1079</v>
      </c>
      <c r="BA590" s="28" t="s">
        <v>1086</v>
      </c>
      <c r="BC590" s="34">
        <f>AW590+AX590</f>
        <v>0</v>
      </c>
      <c r="BD590" s="34">
        <f>H590/(100-BE590)*100</f>
        <v>0</v>
      </c>
      <c r="BE590" s="34">
        <v>0</v>
      </c>
      <c r="BF590" s="34">
        <f>590</f>
        <v>590</v>
      </c>
      <c r="BH590" s="18">
        <f>G590*AO590</f>
        <v>0</v>
      </c>
      <c r="BI590" s="18">
        <f>G590*AP590</f>
        <v>0</v>
      </c>
      <c r="BJ590" s="18">
        <f>G590*H590</f>
        <v>0</v>
      </c>
    </row>
    <row r="591" spans="3:7" ht="12.75">
      <c r="C591" s="101" t="s">
        <v>648</v>
      </c>
      <c r="D591" s="102"/>
      <c r="E591" s="102"/>
      <c r="G591" s="64">
        <v>6.228</v>
      </c>
    </row>
    <row r="592" spans="1:62" ht="12.75">
      <c r="A592" s="5" t="s">
        <v>236</v>
      </c>
      <c r="B592" s="5" t="s">
        <v>491</v>
      </c>
      <c r="C592" s="99" t="s">
        <v>895</v>
      </c>
      <c r="D592" s="100"/>
      <c r="E592" s="100"/>
      <c r="F592" s="5" t="s">
        <v>986</v>
      </c>
      <c r="G592" s="63">
        <v>21.1</v>
      </c>
      <c r="H592" s="18">
        <v>0</v>
      </c>
      <c r="I592" s="18">
        <f>G592*AO592</f>
        <v>0</v>
      </c>
      <c r="J592" s="18">
        <f>G592*AP592</f>
        <v>0</v>
      </c>
      <c r="K592" s="18">
        <f>G592*H592</f>
        <v>0</v>
      </c>
      <c r="L592" s="29"/>
      <c r="Z592" s="34">
        <f>IF(AQ592="5",BJ592,0)</f>
        <v>0</v>
      </c>
      <c r="AB592" s="34">
        <f>IF(AQ592="1",BH592,0)</f>
        <v>0</v>
      </c>
      <c r="AC592" s="34">
        <f>IF(AQ592="1",BI592,0)</f>
        <v>0</v>
      </c>
      <c r="AD592" s="34">
        <f>IF(AQ592="7",BH592,0)</f>
        <v>0</v>
      </c>
      <c r="AE592" s="34">
        <f>IF(AQ592="7",BI592,0)</f>
        <v>0</v>
      </c>
      <c r="AF592" s="34">
        <f>IF(AQ592="2",BH592,0)</f>
        <v>0</v>
      </c>
      <c r="AG592" s="34">
        <f>IF(AQ592="2",BI592,0)</f>
        <v>0</v>
      </c>
      <c r="AH592" s="34">
        <f>IF(AQ592="0",BJ592,0)</f>
        <v>0</v>
      </c>
      <c r="AI592" s="28" t="s">
        <v>1021</v>
      </c>
      <c r="AJ592" s="18">
        <f>IF(AN592=0,K592,0)</f>
        <v>0</v>
      </c>
      <c r="AK592" s="18">
        <f>IF(AN592=15,K592,0)</f>
        <v>0</v>
      </c>
      <c r="AL592" s="18">
        <f>IF(AN592=21,K592,0)</f>
        <v>0</v>
      </c>
      <c r="AN592" s="34">
        <v>21</v>
      </c>
      <c r="AO592" s="34">
        <f>H592*0</f>
        <v>0</v>
      </c>
      <c r="AP592" s="34">
        <f>H592*(1-0)</f>
        <v>0</v>
      </c>
      <c r="AQ592" s="29" t="s">
        <v>12</v>
      </c>
      <c r="AV592" s="34">
        <f>AW592+AX592</f>
        <v>0</v>
      </c>
      <c r="AW592" s="34">
        <f>G592*AO592</f>
        <v>0</v>
      </c>
      <c r="AX592" s="34">
        <f>G592*AP592</f>
        <v>0</v>
      </c>
      <c r="AY592" s="35" t="s">
        <v>1040</v>
      </c>
      <c r="AZ592" s="35" t="s">
        <v>1079</v>
      </c>
      <c r="BA592" s="28" t="s">
        <v>1086</v>
      </c>
      <c r="BC592" s="34">
        <f>AW592+AX592</f>
        <v>0</v>
      </c>
      <c r="BD592" s="34">
        <f>H592/(100-BE592)*100</f>
        <v>0</v>
      </c>
      <c r="BE592" s="34">
        <v>0</v>
      </c>
      <c r="BF592" s="34">
        <f>592</f>
        <v>592</v>
      </c>
      <c r="BH592" s="18">
        <f>G592*AO592</f>
        <v>0</v>
      </c>
      <c r="BI592" s="18">
        <f>G592*AP592</f>
        <v>0</v>
      </c>
      <c r="BJ592" s="18">
        <f>G592*H592</f>
        <v>0</v>
      </c>
    </row>
    <row r="593" spans="3:7" ht="12.75">
      <c r="C593" s="101" t="s">
        <v>896</v>
      </c>
      <c r="D593" s="102"/>
      <c r="E593" s="102"/>
      <c r="G593" s="64">
        <v>21.1</v>
      </c>
    </row>
    <row r="594" spans="1:62" ht="12.75">
      <c r="A594" s="5" t="s">
        <v>237</v>
      </c>
      <c r="B594" s="5" t="s">
        <v>401</v>
      </c>
      <c r="C594" s="99" t="s">
        <v>686</v>
      </c>
      <c r="D594" s="100"/>
      <c r="E594" s="100"/>
      <c r="F594" s="5" t="s">
        <v>987</v>
      </c>
      <c r="G594" s="63">
        <v>0.671</v>
      </c>
      <c r="H594" s="18">
        <v>0</v>
      </c>
      <c r="I594" s="18">
        <f>G594*AO594</f>
        <v>0</v>
      </c>
      <c r="J594" s="18">
        <f>G594*AP594</f>
        <v>0</v>
      </c>
      <c r="K594" s="18">
        <f>G594*H594</f>
        <v>0</v>
      </c>
      <c r="L594" s="29"/>
      <c r="Z594" s="34">
        <f>IF(AQ594="5",BJ594,0)</f>
        <v>0</v>
      </c>
      <c r="AB594" s="34">
        <f>IF(AQ594="1",BH594,0)</f>
        <v>0</v>
      </c>
      <c r="AC594" s="34">
        <f>IF(AQ594="1",BI594,0)</f>
        <v>0</v>
      </c>
      <c r="AD594" s="34">
        <f>IF(AQ594="7",BH594,0)</f>
        <v>0</v>
      </c>
      <c r="AE594" s="34">
        <f>IF(AQ594="7",BI594,0)</f>
        <v>0</v>
      </c>
      <c r="AF594" s="34">
        <f>IF(AQ594="2",BH594,0)</f>
        <v>0</v>
      </c>
      <c r="AG594" s="34">
        <f>IF(AQ594="2",BI594,0)</f>
        <v>0</v>
      </c>
      <c r="AH594" s="34">
        <f>IF(AQ594="0",BJ594,0)</f>
        <v>0</v>
      </c>
      <c r="AI594" s="28" t="s">
        <v>1021</v>
      </c>
      <c r="AJ594" s="18">
        <f>IF(AN594=0,K594,0)</f>
        <v>0</v>
      </c>
      <c r="AK594" s="18">
        <f>IF(AN594=15,K594,0)</f>
        <v>0</v>
      </c>
      <c r="AL594" s="18">
        <f>IF(AN594=21,K594,0)</f>
        <v>0</v>
      </c>
      <c r="AN594" s="34">
        <v>21</v>
      </c>
      <c r="AO594" s="34">
        <f>H594*0</f>
        <v>0</v>
      </c>
      <c r="AP594" s="34">
        <f>H594*(1-0)</f>
        <v>0</v>
      </c>
      <c r="AQ594" s="29" t="s">
        <v>10</v>
      </c>
      <c r="AV594" s="34">
        <f>AW594+AX594</f>
        <v>0</v>
      </c>
      <c r="AW594" s="34">
        <f>G594*AO594</f>
        <v>0</v>
      </c>
      <c r="AX594" s="34">
        <f>G594*AP594</f>
        <v>0</v>
      </c>
      <c r="AY594" s="35" t="s">
        <v>1040</v>
      </c>
      <c r="AZ594" s="35" t="s">
        <v>1079</v>
      </c>
      <c r="BA594" s="28" t="s">
        <v>1086</v>
      </c>
      <c r="BC594" s="34">
        <f>AW594+AX594</f>
        <v>0</v>
      </c>
      <c r="BD594" s="34">
        <f>H594/(100-BE594)*100</f>
        <v>0</v>
      </c>
      <c r="BE594" s="34">
        <v>0</v>
      </c>
      <c r="BF594" s="34">
        <f>594</f>
        <v>594</v>
      </c>
      <c r="BH594" s="18">
        <f>G594*AO594</f>
        <v>0</v>
      </c>
      <c r="BI594" s="18">
        <f>G594*AP594</f>
        <v>0</v>
      </c>
      <c r="BJ594" s="18">
        <f>G594*H594</f>
        <v>0</v>
      </c>
    </row>
    <row r="595" spans="3:7" ht="12.75">
      <c r="C595" s="101" t="s">
        <v>897</v>
      </c>
      <c r="D595" s="102"/>
      <c r="E595" s="102"/>
      <c r="G595" s="64">
        <v>0.671</v>
      </c>
    </row>
    <row r="596" spans="1:47" ht="12.75">
      <c r="A596" s="4"/>
      <c r="B596" s="14" t="s">
        <v>402</v>
      </c>
      <c r="C596" s="97" t="s">
        <v>688</v>
      </c>
      <c r="D596" s="98"/>
      <c r="E596" s="98"/>
      <c r="F596" s="4" t="s">
        <v>5</v>
      </c>
      <c r="G596" s="4" t="s">
        <v>5</v>
      </c>
      <c r="H596" s="4" t="s">
        <v>5</v>
      </c>
      <c r="I596" s="37">
        <f>SUM(I597:I620)</f>
        <v>0</v>
      </c>
      <c r="J596" s="37">
        <f>SUM(J597:J620)</f>
        <v>0</v>
      </c>
      <c r="K596" s="37">
        <f>SUM(K597:K620)</f>
        <v>0</v>
      </c>
      <c r="L596" s="28"/>
      <c r="AI596" s="28" t="s">
        <v>1021</v>
      </c>
      <c r="AS596" s="37">
        <f>SUM(AJ597:AJ620)</f>
        <v>0</v>
      </c>
      <c r="AT596" s="37">
        <f>SUM(AK597:AK620)</f>
        <v>0</v>
      </c>
      <c r="AU596" s="37">
        <f>SUM(AL597:AL620)</f>
        <v>0</v>
      </c>
    </row>
    <row r="597" spans="1:62" ht="12.75">
      <c r="A597" s="5" t="s">
        <v>238</v>
      </c>
      <c r="B597" s="5" t="s">
        <v>403</v>
      </c>
      <c r="C597" s="99" t="s">
        <v>689</v>
      </c>
      <c r="D597" s="100"/>
      <c r="E597" s="100"/>
      <c r="F597" s="5" t="s">
        <v>986</v>
      </c>
      <c r="G597" s="63">
        <v>10</v>
      </c>
      <c r="H597" s="18">
        <v>0</v>
      </c>
      <c r="I597" s="18">
        <f>G597*AO597</f>
        <v>0</v>
      </c>
      <c r="J597" s="18">
        <f>G597*AP597</f>
        <v>0</v>
      </c>
      <c r="K597" s="18">
        <f>G597*H597</f>
        <v>0</v>
      </c>
      <c r="L597" s="29"/>
      <c r="Z597" s="34">
        <f>IF(AQ597="5",BJ597,0)</f>
        <v>0</v>
      </c>
      <c r="AB597" s="34">
        <f>IF(AQ597="1",BH597,0)</f>
        <v>0</v>
      </c>
      <c r="AC597" s="34">
        <f>IF(AQ597="1",BI597,0)</f>
        <v>0</v>
      </c>
      <c r="AD597" s="34">
        <f>IF(AQ597="7",BH597,0)</f>
        <v>0</v>
      </c>
      <c r="AE597" s="34">
        <f>IF(AQ597="7",BI597,0)</f>
        <v>0</v>
      </c>
      <c r="AF597" s="34">
        <f>IF(AQ597="2",BH597,0)</f>
        <v>0</v>
      </c>
      <c r="AG597" s="34">
        <f>IF(AQ597="2",BI597,0)</f>
        <v>0</v>
      </c>
      <c r="AH597" s="34">
        <f>IF(AQ597="0",BJ597,0)</f>
        <v>0</v>
      </c>
      <c r="AI597" s="28" t="s">
        <v>1021</v>
      </c>
      <c r="AJ597" s="18">
        <f>IF(AN597=0,K597,0)</f>
        <v>0</v>
      </c>
      <c r="AK597" s="18">
        <f>IF(AN597=15,K597,0)</f>
        <v>0</v>
      </c>
      <c r="AL597" s="18">
        <f>IF(AN597=21,K597,0)</f>
        <v>0</v>
      </c>
      <c r="AN597" s="34">
        <v>21</v>
      </c>
      <c r="AO597" s="34">
        <f>H597*0.804564112092701</f>
        <v>0</v>
      </c>
      <c r="AP597" s="34">
        <f>H597*(1-0.804564112092701)</f>
        <v>0</v>
      </c>
      <c r="AQ597" s="29" t="s">
        <v>12</v>
      </c>
      <c r="AV597" s="34">
        <f>AW597+AX597</f>
        <v>0</v>
      </c>
      <c r="AW597" s="34">
        <f>G597*AO597</f>
        <v>0</v>
      </c>
      <c r="AX597" s="34">
        <f>G597*AP597</f>
        <v>0</v>
      </c>
      <c r="AY597" s="35" t="s">
        <v>1041</v>
      </c>
      <c r="AZ597" s="35" t="s">
        <v>1079</v>
      </c>
      <c r="BA597" s="28" t="s">
        <v>1086</v>
      </c>
      <c r="BC597" s="34">
        <f>AW597+AX597</f>
        <v>0</v>
      </c>
      <c r="BD597" s="34">
        <f>H597/(100-BE597)*100</f>
        <v>0</v>
      </c>
      <c r="BE597" s="34">
        <v>0</v>
      </c>
      <c r="BF597" s="34">
        <f>597</f>
        <v>597</v>
      </c>
      <c r="BH597" s="18">
        <f>G597*AO597</f>
        <v>0</v>
      </c>
      <c r="BI597" s="18">
        <f>G597*AP597</f>
        <v>0</v>
      </c>
      <c r="BJ597" s="18">
        <f>G597*H597</f>
        <v>0</v>
      </c>
    </row>
    <row r="598" spans="3:7" ht="12.75">
      <c r="C598" s="101" t="s">
        <v>690</v>
      </c>
      <c r="D598" s="102"/>
      <c r="E598" s="102"/>
      <c r="G598" s="64">
        <v>10</v>
      </c>
    </row>
    <row r="599" spans="1:62" ht="12.75">
      <c r="A599" s="5" t="s">
        <v>239</v>
      </c>
      <c r="B599" s="5" t="s">
        <v>403</v>
      </c>
      <c r="C599" s="99" t="s">
        <v>691</v>
      </c>
      <c r="D599" s="100"/>
      <c r="E599" s="100"/>
      <c r="F599" s="5" t="s">
        <v>986</v>
      </c>
      <c r="G599" s="63">
        <v>1.25</v>
      </c>
      <c r="H599" s="18">
        <v>0</v>
      </c>
      <c r="I599" s="18">
        <f>G599*AO599</f>
        <v>0</v>
      </c>
      <c r="J599" s="18">
        <f>G599*AP599</f>
        <v>0</v>
      </c>
      <c r="K599" s="18">
        <f>G599*H599</f>
        <v>0</v>
      </c>
      <c r="L599" s="29"/>
      <c r="Z599" s="34">
        <f>IF(AQ599="5",BJ599,0)</f>
        <v>0</v>
      </c>
      <c r="AB599" s="34">
        <f>IF(AQ599="1",BH599,0)</f>
        <v>0</v>
      </c>
      <c r="AC599" s="34">
        <f>IF(AQ599="1",BI599,0)</f>
        <v>0</v>
      </c>
      <c r="AD599" s="34">
        <f>IF(AQ599="7",BH599,0)</f>
        <v>0</v>
      </c>
      <c r="AE599" s="34">
        <f>IF(AQ599="7",BI599,0)</f>
        <v>0</v>
      </c>
      <c r="AF599" s="34">
        <f>IF(AQ599="2",BH599,0)</f>
        <v>0</v>
      </c>
      <c r="AG599" s="34">
        <f>IF(AQ599="2",BI599,0)</f>
        <v>0</v>
      </c>
      <c r="AH599" s="34">
        <f>IF(AQ599="0",BJ599,0)</f>
        <v>0</v>
      </c>
      <c r="AI599" s="28" t="s">
        <v>1021</v>
      </c>
      <c r="AJ599" s="18">
        <f>IF(AN599=0,K599,0)</f>
        <v>0</v>
      </c>
      <c r="AK599" s="18">
        <f>IF(AN599=15,K599,0)</f>
        <v>0</v>
      </c>
      <c r="AL599" s="18">
        <f>IF(AN599=21,K599,0)</f>
        <v>0</v>
      </c>
      <c r="AN599" s="34">
        <v>21</v>
      </c>
      <c r="AO599" s="34">
        <f>H599*0.804566830177971</f>
        <v>0</v>
      </c>
      <c r="AP599" s="34">
        <f>H599*(1-0.804566830177971)</f>
        <v>0</v>
      </c>
      <c r="AQ599" s="29" t="s">
        <v>12</v>
      </c>
      <c r="AV599" s="34">
        <f>AW599+AX599</f>
        <v>0</v>
      </c>
      <c r="AW599" s="34">
        <f>G599*AO599</f>
        <v>0</v>
      </c>
      <c r="AX599" s="34">
        <f>G599*AP599</f>
        <v>0</v>
      </c>
      <c r="AY599" s="35" t="s">
        <v>1041</v>
      </c>
      <c r="AZ599" s="35" t="s">
        <v>1079</v>
      </c>
      <c r="BA599" s="28" t="s">
        <v>1086</v>
      </c>
      <c r="BC599" s="34">
        <f>AW599+AX599</f>
        <v>0</v>
      </c>
      <c r="BD599" s="34">
        <f>H599/(100-BE599)*100</f>
        <v>0</v>
      </c>
      <c r="BE599" s="34">
        <v>0</v>
      </c>
      <c r="BF599" s="34">
        <f>599</f>
        <v>599</v>
      </c>
      <c r="BH599" s="18">
        <f>G599*AO599</f>
        <v>0</v>
      </c>
      <c r="BI599" s="18">
        <f>G599*AP599</f>
        <v>0</v>
      </c>
      <c r="BJ599" s="18">
        <f>G599*H599</f>
        <v>0</v>
      </c>
    </row>
    <row r="600" spans="3:7" ht="12.75">
      <c r="C600" s="101" t="s">
        <v>692</v>
      </c>
      <c r="D600" s="102"/>
      <c r="E600" s="102"/>
      <c r="G600" s="64">
        <v>1.25</v>
      </c>
    </row>
    <row r="601" spans="1:62" ht="12.75">
      <c r="A601" s="5" t="s">
        <v>240</v>
      </c>
      <c r="B601" s="5" t="s">
        <v>403</v>
      </c>
      <c r="C601" s="99" t="s">
        <v>693</v>
      </c>
      <c r="D601" s="100"/>
      <c r="E601" s="100"/>
      <c r="F601" s="5" t="s">
        <v>986</v>
      </c>
      <c r="G601" s="63">
        <v>12.6</v>
      </c>
      <c r="H601" s="18">
        <v>0</v>
      </c>
      <c r="I601" s="18">
        <f>G601*AO601</f>
        <v>0</v>
      </c>
      <c r="J601" s="18">
        <f>G601*AP601</f>
        <v>0</v>
      </c>
      <c r="K601" s="18">
        <f>G601*H601</f>
        <v>0</v>
      </c>
      <c r="L601" s="29"/>
      <c r="Z601" s="34">
        <f>IF(AQ601="5",BJ601,0)</f>
        <v>0</v>
      </c>
      <c r="AB601" s="34">
        <f>IF(AQ601="1",BH601,0)</f>
        <v>0</v>
      </c>
      <c r="AC601" s="34">
        <f>IF(AQ601="1",BI601,0)</f>
        <v>0</v>
      </c>
      <c r="AD601" s="34">
        <f>IF(AQ601="7",BH601,0)</f>
        <v>0</v>
      </c>
      <c r="AE601" s="34">
        <f>IF(AQ601="7",BI601,0)</f>
        <v>0</v>
      </c>
      <c r="AF601" s="34">
        <f>IF(AQ601="2",BH601,0)</f>
        <v>0</v>
      </c>
      <c r="AG601" s="34">
        <f>IF(AQ601="2",BI601,0)</f>
        <v>0</v>
      </c>
      <c r="AH601" s="34">
        <f>IF(AQ601="0",BJ601,0)</f>
        <v>0</v>
      </c>
      <c r="AI601" s="28" t="s">
        <v>1021</v>
      </c>
      <c r="AJ601" s="18">
        <f>IF(AN601=0,K601,0)</f>
        <v>0</v>
      </c>
      <c r="AK601" s="18">
        <f>IF(AN601=15,K601,0)</f>
        <v>0</v>
      </c>
      <c r="AL601" s="18">
        <f>IF(AN601=21,K601,0)</f>
        <v>0</v>
      </c>
      <c r="AN601" s="34">
        <v>21</v>
      </c>
      <c r="AO601" s="34">
        <f>H601*0.804563680652284</f>
        <v>0</v>
      </c>
      <c r="AP601" s="34">
        <f>H601*(1-0.804563680652284)</f>
        <v>0</v>
      </c>
      <c r="AQ601" s="29" t="s">
        <v>12</v>
      </c>
      <c r="AV601" s="34">
        <f>AW601+AX601</f>
        <v>0</v>
      </c>
      <c r="AW601" s="34">
        <f>G601*AO601</f>
        <v>0</v>
      </c>
      <c r="AX601" s="34">
        <f>G601*AP601</f>
        <v>0</v>
      </c>
      <c r="AY601" s="35" t="s">
        <v>1041</v>
      </c>
      <c r="AZ601" s="35" t="s">
        <v>1079</v>
      </c>
      <c r="BA601" s="28" t="s">
        <v>1086</v>
      </c>
      <c r="BC601" s="34">
        <f>AW601+AX601</f>
        <v>0</v>
      </c>
      <c r="BD601" s="34">
        <f>H601/(100-BE601)*100</f>
        <v>0</v>
      </c>
      <c r="BE601" s="34">
        <v>0</v>
      </c>
      <c r="BF601" s="34">
        <f>601</f>
        <v>601</v>
      </c>
      <c r="BH601" s="18">
        <f>G601*AO601</f>
        <v>0</v>
      </c>
      <c r="BI601" s="18">
        <f>G601*AP601</f>
        <v>0</v>
      </c>
      <c r="BJ601" s="18">
        <f>G601*H601</f>
        <v>0</v>
      </c>
    </row>
    <row r="602" spans="3:7" ht="12.75">
      <c r="C602" s="101" t="s">
        <v>694</v>
      </c>
      <c r="D602" s="102"/>
      <c r="E602" s="102"/>
      <c r="G602" s="64">
        <v>12.6</v>
      </c>
    </row>
    <row r="603" spans="1:62" ht="12.75">
      <c r="A603" s="5" t="s">
        <v>241</v>
      </c>
      <c r="B603" s="5" t="s">
        <v>492</v>
      </c>
      <c r="C603" s="99" t="s">
        <v>898</v>
      </c>
      <c r="D603" s="100"/>
      <c r="E603" s="100"/>
      <c r="F603" s="5" t="s">
        <v>986</v>
      </c>
      <c r="G603" s="63">
        <v>2.8</v>
      </c>
      <c r="H603" s="18">
        <v>0</v>
      </c>
      <c r="I603" s="18">
        <f>G603*AO603</f>
        <v>0</v>
      </c>
      <c r="J603" s="18">
        <f>G603*AP603</f>
        <v>0</v>
      </c>
      <c r="K603" s="18">
        <f>G603*H603</f>
        <v>0</v>
      </c>
      <c r="L603" s="29"/>
      <c r="Z603" s="34">
        <f>IF(AQ603="5",BJ603,0)</f>
        <v>0</v>
      </c>
      <c r="AB603" s="34">
        <f>IF(AQ603="1",BH603,0)</f>
        <v>0</v>
      </c>
      <c r="AC603" s="34">
        <f>IF(AQ603="1",BI603,0)</f>
        <v>0</v>
      </c>
      <c r="AD603" s="34">
        <f>IF(AQ603="7",BH603,0)</f>
        <v>0</v>
      </c>
      <c r="AE603" s="34">
        <f>IF(AQ603="7",BI603,0)</f>
        <v>0</v>
      </c>
      <c r="AF603" s="34">
        <f>IF(AQ603="2",BH603,0)</f>
        <v>0</v>
      </c>
      <c r="AG603" s="34">
        <f>IF(AQ603="2",BI603,0)</f>
        <v>0</v>
      </c>
      <c r="AH603" s="34">
        <f>IF(AQ603="0",BJ603,0)</f>
        <v>0</v>
      </c>
      <c r="AI603" s="28" t="s">
        <v>1021</v>
      </c>
      <c r="AJ603" s="18">
        <f>IF(AN603=0,K603,0)</f>
        <v>0</v>
      </c>
      <c r="AK603" s="18">
        <f>IF(AN603=15,K603,0)</f>
        <v>0</v>
      </c>
      <c r="AL603" s="18">
        <f>IF(AN603=21,K603,0)</f>
        <v>0</v>
      </c>
      <c r="AN603" s="34">
        <v>21</v>
      </c>
      <c r="AO603" s="34">
        <f>H603*0.629157880623575</f>
        <v>0</v>
      </c>
      <c r="AP603" s="34">
        <f>H603*(1-0.629157880623575)</f>
        <v>0</v>
      </c>
      <c r="AQ603" s="29" t="s">
        <v>12</v>
      </c>
      <c r="AV603" s="34">
        <f>AW603+AX603</f>
        <v>0</v>
      </c>
      <c r="AW603" s="34">
        <f>G603*AO603</f>
        <v>0</v>
      </c>
      <c r="AX603" s="34">
        <f>G603*AP603</f>
        <v>0</v>
      </c>
      <c r="AY603" s="35" t="s">
        <v>1041</v>
      </c>
      <c r="AZ603" s="35" t="s">
        <v>1079</v>
      </c>
      <c r="BA603" s="28" t="s">
        <v>1086</v>
      </c>
      <c r="BC603" s="34">
        <f>AW603+AX603</f>
        <v>0</v>
      </c>
      <c r="BD603" s="34">
        <f>H603/(100-BE603)*100</f>
        <v>0</v>
      </c>
      <c r="BE603" s="34">
        <v>0</v>
      </c>
      <c r="BF603" s="34">
        <f>603</f>
        <v>603</v>
      </c>
      <c r="BH603" s="18">
        <f>G603*AO603</f>
        <v>0</v>
      </c>
      <c r="BI603" s="18">
        <f>G603*AP603</f>
        <v>0</v>
      </c>
      <c r="BJ603" s="18">
        <f>G603*H603</f>
        <v>0</v>
      </c>
    </row>
    <row r="604" spans="3:7" ht="12.75">
      <c r="C604" s="101" t="s">
        <v>899</v>
      </c>
      <c r="D604" s="102"/>
      <c r="E604" s="102"/>
      <c r="G604" s="64">
        <v>2.8</v>
      </c>
    </row>
    <row r="605" spans="1:62" ht="12.75">
      <c r="A605" s="5" t="s">
        <v>242</v>
      </c>
      <c r="B605" s="5" t="s">
        <v>404</v>
      </c>
      <c r="C605" s="99" t="s">
        <v>695</v>
      </c>
      <c r="D605" s="100"/>
      <c r="E605" s="100"/>
      <c r="F605" s="5" t="s">
        <v>986</v>
      </c>
      <c r="G605" s="63">
        <v>18</v>
      </c>
      <c r="H605" s="18">
        <v>0</v>
      </c>
      <c r="I605" s="18">
        <f>G605*AO605</f>
        <v>0</v>
      </c>
      <c r="J605" s="18">
        <f>G605*AP605</f>
        <v>0</v>
      </c>
      <c r="K605" s="18">
        <f>G605*H605</f>
        <v>0</v>
      </c>
      <c r="L605" s="29"/>
      <c r="Z605" s="34">
        <f>IF(AQ605="5",BJ605,0)</f>
        <v>0</v>
      </c>
      <c r="AB605" s="34">
        <f>IF(AQ605="1",BH605,0)</f>
        <v>0</v>
      </c>
      <c r="AC605" s="34">
        <f>IF(AQ605="1",BI605,0)</f>
        <v>0</v>
      </c>
      <c r="AD605" s="34">
        <f>IF(AQ605="7",BH605,0)</f>
        <v>0</v>
      </c>
      <c r="AE605" s="34">
        <f>IF(AQ605="7",BI605,0)</f>
        <v>0</v>
      </c>
      <c r="AF605" s="34">
        <f>IF(AQ605="2",BH605,0)</f>
        <v>0</v>
      </c>
      <c r="AG605" s="34">
        <f>IF(AQ605="2",BI605,0)</f>
        <v>0</v>
      </c>
      <c r="AH605" s="34">
        <f>IF(AQ605="0",BJ605,0)</f>
        <v>0</v>
      </c>
      <c r="AI605" s="28" t="s">
        <v>1021</v>
      </c>
      <c r="AJ605" s="18">
        <f>IF(AN605=0,K605,0)</f>
        <v>0</v>
      </c>
      <c r="AK605" s="18">
        <f>IF(AN605=15,K605,0)</f>
        <v>0</v>
      </c>
      <c r="AL605" s="18">
        <f>IF(AN605=21,K605,0)</f>
        <v>0</v>
      </c>
      <c r="AN605" s="34">
        <v>21</v>
      </c>
      <c r="AO605" s="34">
        <f>H605*0.798657038248361</f>
        <v>0</v>
      </c>
      <c r="AP605" s="34">
        <f>H605*(1-0.798657038248361)</f>
        <v>0</v>
      </c>
      <c r="AQ605" s="29" t="s">
        <v>12</v>
      </c>
      <c r="AV605" s="34">
        <f>AW605+AX605</f>
        <v>0</v>
      </c>
      <c r="AW605" s="34">
        <f>G605*AO605</f>
        <v>0</v>
      </c>
      <c r="AX605" s="34">
        <f>G605*AP605</f>
        <v>0</v>
      </c>
      <c r="AY605" s="35" t="s">
        <v>1041</v>
      </c>
      <c r="AZ605" s="35" t="s">
        <v>1079</v>
      </c>
      <c r="BA605" s="28" t="s">
        <v>1086</v>
      </c>
      <c r="BC605" s="34">
        <f>AW605+AX605</f>
        <v>0</v>
      </c>
      <c r="BD605" s="34">
        <f>H605/(100-BE605)*100</f>
        <v>0</v>
      </c>
      <c r="BE605" s="34">
        <v>0</v>
      </c>
      <c r="BF605" s="34">
        <f>605</f>
        <v>605</v>
      </c>
      <c r="BH605" s="18">
        <f>G605*AO605</f>
        <v>0</v>
      </c>
      <c r="BI605" s="18">
        <f>G605*AP605</f>
        <v>0</v>
      </c>
      <c r="BJ605" s="18">
        <f>G605*H605</f>
        <v>0</v>
      </c>
    </row>
    <row r="606" spans="3:7" ht="12.75">
      <c r="C606" s="101" t="s">
        <v>23</v>
      </c>
      <c r="D606" s="102"/>
      <c r="E606" s="102"/>
      <c r="G606" s="64">
        <v>18</v>
      </c>
    </row>
    <row r="607" spans="1:62" ht="12.75">
      <c r="A607" s="5" t="s">
        <v>243</v>
      </c>
      <c r="B607" s="5" t="s">
        <v>405</v>
      </c>
      <c r="C607" s="99" t="s">
        <v>697</v>
      </c>
      <c r="D607" s="100"/>
      <c r="E607" s="100"/>
      <c r="F607" s="5" t="s">
        <v>986</v>
      </c>
      <c r="G607" s="63">
        <v>21.6</v>
      </c>
      <c r="H607" s="18">
        <v>0</v>
      </c>
      <c r="I607" s="18">
        <f>G607*AO607</f>
        <v>0</v>
      </c>
      <c r="J607" s="18">
        <f>G607*AP607</f>
        <v>0</v>
      </c>
      <c r="K607" s="18">
        <f>G607*H607</f>
        <v>0</v>
      </c>
      <c r="L607" s="29"/>
      <c r="Z607" s="34">
        <f>IF(AQ607="5",BJ607,0)</f>
        <v>0</v>
      </c>
      <c r="AB607" s="34">
        <f>IF(AQ607="1",BH607,0)</f>
        <v>0</v>
      </c>
      <c r="AC607" s="34">
        <f>IF(AQ607="1",BI607,0)</f>
        <v>0</v>
      </c>
      <c r="AD607" s="34">
        <f>IF(AQ607="7",BH607,0)</f>
        <v>0</v>
      </c>
      <c r="AE607" s="34">
        <f>IF(AQ607="7",BI607,0)</f>
        <v>0</v>
      </c>
      <c r="AF607" s="34">
        <f>IF(AQ607="2",BH607,0)</f>
        <v>0</v>
      </c>
      <c r="AG607" s="34">
        <f>IF(AQ607="2",BI607,0)</f>
        <v>0</v>
      </c>
      <c r="AH607" s="34">
        <f>IF(AQ607="0",BJ607,0)</f>
        <v>0</v>
      </c>
      <c r="AI607" s="28" t="s">
        <v>1021</v>
      </c>
      <c r="AJ607" s="18">
        <f>IF(AN607=0,K607,0)</f>
        <v>0</v>
      </c>
      <c r="AK607" s="18">
        <f>IF(AN607=15,K607,0)</f>
        <v>0</v>
      </c>
      <c r="AL607" s="18">
        <f>IF(AN607=21,K607,0)</f>
        <v>0</v>
      </c>
      <c r="AN607" s="34">
        <v>21</v>
      </c>
      <c r="AO607" s="34">
        <f>H607*0.0377289377289377</f>
        <v>0</v>
      </c>
      <c r="AP607" s="34">
        <f>H607*(1-0.0377289377289377)</f>
        <v>0</v>
      </c>
      <c r="AQ607" s="29" t="s">
        <v>12</v>
      </c>
      <c r="AV607" s="34">
        <f>AW607+AX607</f>
        <v>0</v>
      </c>
      <c r="AW607" s="34">
        <f>G607*AO607</f>
        <v>0</v>
      </c>
      <c r="AX607" s="34">
        <f>G607*AP607</f>
        <v>0</v>
      </c>
      <c r="AY607" s="35" t="s">
        <v>1041</v>
      </c>
      <c r="AZ607" s="35" t="s">
        <v>1079</v>
      </c>
      <c r="BA607" s="28" t="s">
        <v>1086</v>
      </c>
      <c r="BC607" s="34">
        <f>AW607+AX607</f>
        <v>0</v>
      </c>
      <c r="BD607" s="34">
        <f>H607/(100-BE607)*100</f>
        <v>0</v>
      </c>
      <c r="BE607" s="34">
        <v>0</v>
      </c>
      <c r="BF607" s="34">
        <f>607</f>
        <v>607</v>
      </c>
      <c r="BH607" s="18">
        <f>G607*AO607</f>
        <v>0</v>
      </c>
      <c r="BI607" s="18">
        <f>G607*AP607</f>
        <v>0</v>
      </c>
      <c r="BJ607" s="18">
        <f>G607*H607</f>
        <v>0</v>
      </c>
    </row>
    <row r="608" spans="3:7" ht="12.75">
      <c r="C608" s="101" t="s">
        <v>900</v>
      </c>
      <c r="D608" s="102"/>
      <c r="E608" s="102"/>
      <c r="G608" s="64">
        <v>21.6</v>
      </c>
    </row>
    <row r="609" spans="1:62" ht="12.75">
      <c r="A609" s="6" t="s">
        <v>244</v>
      </c>
      <c r="B609" s="6" t="s">
        <v>406</v>
      </c>
      <c r="C609" s="103" t="s">
        <v>699</v>
      </c>
      <c r="D609" s="104"/>
      <c r="E609" s="104"/>
      <c r="F609" s="6" t="s">
        <v>984</v>
      </c>
      <c r="G609" s="65">
        <v>20.434</v>
      </c>
      <c r="H609" s="19">
        <v>0</v>
      </c>
      <c r="I609" s="19">
        <f>G609*AO609</f>
        <v>0</v>
      </c>
      <c r="J609" s="19">
        <f>G609*AP609</f>
        <v>0</v>
      </c>
      <c r="K609" s="19">
        <f>G609*H609</f>
        <v>0</v>
      </c>
      <c r="L609" s="30"/>
      <c r="Z609" s="34">
        <f>IF(AQ609="5",BJ609,0)</f>
        <v>0</v>
      </c>
      <c r="AB609" s="34">
        <f>IF(AQ609="1",BH609,0)</f>
        <v>0</v>
      </c>
      <c r="AC609" s="34">
        <f>IF(AQ609="1",BI609,0)</f>
        <v>0</v>
      </c>
      <c r="AD609" s="34">
        <f>IF(AQ609="7",BH609,0)</f>
        <v>0</v>
      </c>
      <c r="AE609" s="34">
        <f>IF(AQ609="7",BI609,0)</f>
        <v>0</v>
      </c>
      <c r="AF609" s="34">
        <f>IF(AQ609="2",BH609,0)</f>
        <v>0</v>
      </c>
      <c r="AG609" s="34">
        <f>IF(AQ609="2",BI609,0)</f>
        <v>0</v>
      </c>
      <c r="AH609" s="34">
        <f>IF(AQ609="0",BJ609,0)</f>
        <v>0</v>
      </c>
      <c r="AI609" s="28" t="s">
        <v>1021</v>
      </c>
      <c r="AJ609" s="19">
        <f>IF(AN609=0,K609,0)</f>
        <v>0</v>
      </c>
      <c r="AK609" s="19">
        <f>IF(AN609=15,K609,0)</f>
        <v>0</v>
      </c>
      <c r="AL609" s="19">
        <f>IF(AN609=21,K609,0)</f>
        <v>0</v>
      </c>
      <c r="AN609" s="34">
        <v>21</v>
      </c>
      <c r="AO609" s="34">
        <f>H609*1</f>
        <v>0</v>
      </c>
      <c r="AP609" s="34">
        <f>H609*(1-1)</f>
        <v>0</v>
      </c>
      <c r="AQ609" s="30" t="s">
        <v>12</v>
      </c>
      <c r="AV609" s="34">
        <f>AW609+AX609</f>
        <v>0</v>
      </c>
      <c r="AW609" s="34">
        <f>G609*AO609</f>
        <v>0</v>
      </c>
      <c r="AX609" s="34">
        <f>G609*AP609</f>
        <v>0</v>
      </c>
      <c r="AY609" s="35" t="s">
        <v>1041</v>
      </c>
      <c r="AZ609" s="35" t="s">
        <v>1079</v>
      </c>
      <c r="BA609" s="28" t="s">
        <v>1086</v>
      </c>
      <c r="BC609" s="34">
        <f>AW609+AX609</f>
        <v>0</v>
      </c>
      <c r="BD609" s="34">
        <f>H609/(100-BE609)*100</f>
        <v>0</v>
      </c>
      <c r="BE609" s="34">
        <v>0</v>
      </c>
      <c r="BF609" s="34">
        <f>609</f>
        <v>609</v>
      </c>
      <c r="BH609" s="19">
        <f>G609*AO609</f>
        <v>0</v>
      </c>
      <c r="BI609" s="19">
        <f>G609*AP609</f>
        <v>0</v>
      </c>
      <c r="BJ609" s="19">
        <f>G609*H609</f>
        <v>0</v>
      </c>
    </row>
    <row r="610" spans="3:7" ht="12.75">
      <c r="C610" s="101" t="s">
        <v>901</v>
      </c>
      <c r="D610" s="102"/>
      <c r="E610" s="102"/>
      <c r="G610" s="64">
        <v>18.576</v>
      </c>
    </row>
    <row r="611" spans="3:7" ht="12.75">
      <c r="C611" s="101" t="s">
        <v>902</v>
      </c>
      <c r="D611" s="102"/>
      <c r="E611" s="102"/>
      <c r="G611" s="64">
        <v>1.858</v>
      </c>
    </row>
    <row r="612" spans="1:62" ht="12.75">
      <c r="A612" s="5" t="s">
        <v>245</v>
      </c>
      <c r="B612" s="5" t="s">
        <v>493</v>
      </c>
      <c r="C612" s="99" t="s">
        <v>903</v>
      </c>
      <c r="D612" s="100"/>
      <c r="E612" s="100"/>
      <c r="F612" s="5" t="s">
        <v>986</v>
      </c>
      <c r="G612" s="63">
        <v>6</v>
      </c>
      <c r="H612" s="18">
        <v>0</v>
      </c>
      <c r="I612" s="18">
        <f>G612*AO612</f>
        <v>0</v>
      </c>
      <c r="J612" s="18">
        <f>G612*AP612</f>
        <v>0</v>
      </c>
      <c r="K612" s="18">
        <f>G612*H612</f>
        <v>0</v>
      </c>
      <c r="L612" s="29"/>
      <c r="Z612" s="34">
        <f>IF(AQ612="5",BJ612,0)</f>
        <v>0</v>
      </c>
      <c r="AB612" s="34">
        <f>IF(AQ612="1",BH612,0)</f>
        <v>0</v>
      </c>
      <c r="AC612" s="34">
        <f>IF(AQ612="1",BI612,0)</f>
        <v>0</v>
      </c>
      <c r="AD612" s="34">
        <f>IF(AQ612="7",BH612,0)</f>
        <v>0</v>
      </c>
      <c r="AE612" s="34">
        <f>IF(AQ612="7",BI612,0)</f>
        <v>0</v>
      </c>
      <c r="AF612" s="34">
        <f>IF(AQ612="2",BH612,0)</f>
        <v>0</v>
      </c>
      <c r="AG612" s="34">
        <f>IF(AQ612="2",BI612,0)</f>
        <v>0</v>
      </c>
      <c r="AH612" s="34">
        <f>IF(AQ612="0",BJ612,0)</f>
        <v>0</v>
      </c>
      <c r="AI612" s="28" t="s">
        <v>1021</v>
      </c>
      <c r="AJ612" s="18">
        <f>IF(AN612=0,K612,0)</f>
        <v>0</v>
      </c>
      <c r="AK612" s="18">
        <f>IF(AN612=15,K612,0)</f>
        <v>0</v>
      </c>
      <c r="AL612" s="18">
        <f>IF(AN612=21,K612,0)</f>
        <v>0</v>
      </c>
      <c r="AN612" s="34">
        <v>21</v>
      </c>
      <c r="AO612" s="34">
        <f>H612*0.119373040752351</f>
        <v>0</v>
      </c>
      <c r="AP612" s="34">
        <f>H612*(1-0.119373040752351)</f>
        <v>0</v>
      </c>
      <c r="AQ612" s="29" t="s">
        <v>12</v>
      </c>
      <c r="AV612" s="34">
        <f>AW612+AX612</f>
        <v>0</v>
      </c>
      <c r="AW612" s="34">
        <f>G612*AO612</f>
        <v>0</v>
      </c>
      <c r="AX612" s="34">
        <f>G612*AP612</f>
        <v>0</v>
      </c>
      <c r="AY612" s="35" t="s">
        <v>1041</v>
      </c>
      <c r="AZ612" s="35" t="s">
        <v>1079</v>
      </c>
      <c r="BA612" s="28" t="s">
        <v>1086</v>
      </c>
      <c r="BC612" s="34">
        <f>AW612+AX612</f>
        <v>0</v>
      </c>
      <c r="BD612" s="34">
        <f>H612/(100-BE612)*100</f>
        <v>0</v>
      </c>
      <c r="BE612" s="34">
        <v>0</v>
      </c>
      <c r="BF612" s="34">
        <f>612</f>
        <v>612</v>
      </c>
      <c r="BH612" s="18">
        <f>G612*AO612</f>
        <v>0</v>
      </c>
      <c r="BI612" s="18">
        <f>G612*AP612</f>
        <v>0</v>
      </c>
      <c r="BJ612" s="18">
        <f>G612*H612</f>
        <v>0</v>
      </c>
    </row>
    <row r="613" spans="3:7" ht="12.75">
      <c r="C613" s="101" t="s">
        <v>11</v>
      </c>
      <c r="D613" s="102"/>
      <c r="E613" s="102"/>
      <c r="G613" s="64">
        <v>6</v>
      </c>
    </row>
    <row r="614" spans="1:62" ht="12.75">
      <c r="A614" s="5" t="s">
        <v>246</v>
      </c>
      <c r="B614" s="5" t="s">
        <v>407</v>
      </c>
      <c r="C614" s="99" t="s">
        <v>705</v>
      </c>
      <c r="D614" s="100"/>
      <c r="E614" s="100"/>
      <c r="F614" s="5" t="s">
        <v>986</v>
      </c>
      <c r="G614" s="63">
        <v>26.65</v>
      </c>
      <c r="H614" s="18">
        <v>0</v>
      </c>
      <c r="I614" s="18">
        <f>G614*AO614</f>
        <v>0</v>
      </c>
      <c r="J614" s="18">
        <f>G614*AP614</f>
        <v>0</v>
      </c>
      <c r="K614" s="18">
        <f>G614*H614</f>
        <v>0</v>
      </c>
      <c r="L614" s="29"/>
      <c r="Z614" s="34">
        <f>IF(AQ614="5",BJ614,0)</f>
        <v>0</v>
      </c>
      <c r="AB614" s="34">
        <f>IF(AQ614="1",BH614,0)</f>
        <v>0</v>
      </c>
      <c r="AC614" s="34">
        <f>IF(AQ614="1",BI614,0)</f>
        <v>0</v>
      </c>
      <c r="AD614" s="34">
        <f>IF(AQ614="7",BH614,0)</f>
        <v>0</v>
      </c>
      <c r="AE614" s="34">
        <f>IF(AQ614="7",BI614,0)</f>
        <v>0</v>
      </c>
      <c r="AF614" s="34">
        <f>IF(AQ614="2",BH614,0)</f>
        <v>0</v>
      </c>
      <c r="AG614" s="34">
        <f>IF(AQ614="2",BI614,0)</f>
        <v>0</v>
      </c>
      <c r="AH614" s="34">
        <f>IF(AQ614="0",BJ614,0)</f>
        <v>0</v>
      </c>
      <c r="AI614" s="28" t="s">
        <v>1021</v>
      </c>
      <c r="AJ614" s="18">
        <f>IF(AN614=0,K614,0)</f>
        <v>0</v>
      </c>
      <c r="AK614" s="18">
        <f>IF(AN614=15,K614,0)</f>
        <v>0</v>
      </c>
      <c r="AL614" s="18">
        <f>IF(AN614=21,K614,0)</f>
        <v>0</v>
      </c>
      <c r="AN614" s="34">
        <v>21</v>
      </c>
      <c r="AO614" s="34">
        <f>H614*0</f>
        <v>0</v>
      </c>
      <c r="AP614" s="34">
        <f>H614*(1-0)</f>
        <v>0</v>
      </c>
      <c r="AQ614" s="29" t="s">
        <v>12</v>
      </c>
      <c r="AV614" s="34">
        <f>AW614+AX614</f>
        <v>0</v>
      </c>
      <c r="AW614" s="34">
        <f>G614*AO614</f>
        <v>0</v>
      </c>
      <c r="AX614" s="34">
        <f>G614*AP614</f>
        <v>0</v>
      </c>
      <c r="AY614" s="35" t="s">
        <v>1041</v>
      </c>
      <c r="AZ614" s="35" t="s">
        <v>1079</v>
      </c>
      <c r="BA614" s="28" t="s">
        <v>1086</v>
      </c>
      <c r="BC614" s="34">
        <f>AW614+AX614</f>
        <v>0</v>
      </c>
      <c r="BD614" s="34">
        <f>H614/(100-BE614)*100</f>
        <v>0</v>
      </c>
      <c r="BE614" s="34">
        <v>0</v>
      </c>
      <c r="BF614" s="34">
        <f>614</f>
        <v>614</v>
      </c>
      <c r="BH614" s="18">
        <f>G614*AO614</f>
        <v>0</v>
      </c>
      <c r="BI614" s="18">
        <f>G614*AP614</f>
        <v>0</v>
      </c>
      <c r="BJ614" s="18">
        <f>G614*H614</f>
        <v>0</v>
      </c>
    </row>
    <row r="615" spans="3:7" ht="12.75">
      <c r="C615" s="101" t="s">
        <v>904</v>
      </c>
      <c r="D615" s="102"/>
      <c r="E615" s="102"/>
      <c r="G615" s="64">
        <v>26.65</v>
      </c>
    </row>
    <row r="616" spans="1:62" ht="12.75">
      <c r="A616" s="5" t="s">
        <v>247</v>
      </c>
      <c r="B616" s="5" t="s">
        <v>409</v>
      </c>
      <c r="C616" s="99" t="s">
        <v>708</v>
      </c>
      <c r="D616" s="100"/>
      <c r="E616" s="100"/>
      <c r="F616" s="5" t="s">
        <v>986</v>
      </c>
      <c r="G616" s="63">
        <v>32.1</v>
      </c>
      <c r="H616" s="18">
        <v>0</v>
      </c>
      <c r="I616" s="18">
        <f>G616*AO616</f>
        <v>0</v>
      </c>
      <c r="J616" s="18">
        <f>G616*AP616</f>
        <v>0</v>
      </c>
      <c r="K616" s="18">
        <f>G616*H616</f>
        <v>0</v>
      </c>
      <c r="L616" s="29"/>
      <c r="Z616" s="34">
        <f>IF(AQ616="5",BJ616,0)</f>
        <v>0</v>
      </c>
      <c r="AB616" s="34">
        <f>IF(AQ616="1",BH616,0)</f>
        <v>0</v>
      </c>
      <c r="AC616" s="34">
        <f>IF(AQ616="1",BI616,0)</f>
        <v>0</v>
      </c>
      <c r="AD616" s="34">
        <f>IF(AQ616="7",BH616,0)</f>
        <v>0</v>
      </c>
      <c r="AE616" s="34">
        <f>IF(AQ616="7",BI616,0)</f>
        <v>0</v>
      </c>
      <c r="AF616" s="34">
        <f>IF(AQ616="2",BH616,0)</f>
        <v>0</v>
      </c>
      <c r="AG616" s="34">
        <f>IF(AQ616="2",BI616,0)</f>
        <v>0</v>
      </c>
      <c r="AH616" s="34">
        <f>IF(AQ616="0",BJ616,0)</f>
        <v>0</v>
      </c>
      <c r="AI616" s="28" t="s">
        <v>1021</v>
      </c>
      <c r="AJ616" s="18">
        <f>IF(AN616=0,K616,0)</f>
        <v>0</v>
      </c>
      <c r="AK616" s="18">
        <f>IF(AN616=15,K616,0)</f>
        <v>0</v>
      </c>
      <c r="AL616" s="18">
        <f>IF(AN616=21,K616,0)</f>
        <v>0</v>
      </c>
      <c r="AN616" s="34">
        <v>21</v>
      </c>
      <c r="AO616" s="34">
        <f>H616*0</f>
        <v>0</v>
      </c>
      <c r="AP616" s="34">
        <f>H616*(1-0)</f>
        <v>0</v>
      </c>
      <c r="AQ616" s="29" t="s">
        <v>12</v>
      </c>
      <c r="AV616" s="34">
        <f>AW616+AX616</f>
        <v>0</v>
      </c>
      <c r="AW616" s="34">
        <f>G616*AO616</f>
        <v>0</v>
      </c>
      <c r="AX616" s="34">
        <f>G616*AP616</f>
        <v>0</v>
      </c>
      <c r="AY616" s="35" t="s">
        <v>1041</v>
      </c>
      <c r="AZ616" s="35" t="s">
        <v>1079</v>
      </c>
      <c r="BA616" s="28" t="s">
        <v>1086</v>
      </c>
      <c r="BC616" s="34">
        <f>AW616+AX616</f>
        <v>0</v>
      </c>
      <c r="BD616" s="34">
        <f>H616/(100-BE616)*100</f>
        <v>0</v>
      </c>
      <c r="BE616" s="34">
        <v>0</v>
      </c>
      <c r="BF616" s="34">
        <f>616</f>
        <v>616</v>
      </c>
      <c r="BH616" s="18">
        <f>G616*AO616</f>
        <v>0</v>
      </c>
      <c r="BI616" s="18">
        <f>G616*AP616</f>
        <v>0</v>
      </c>
      <c r="BJ616" s="18">
        <f>G616*H616</f>
        <v>0</v>
      </c>
    </row>
    <row r="617" spans="3:7" ht="12.75">
      <c r="C617" s="101" t="s">
        <v>905</v>
      </c>
      <c r="D617" s="102"/>
      <c r="E617" s="102"/>
      <c r="G617" s="64">
        <v>32.1</v>
      </c>
    </row>
    <row r="618" spans="1:62" ht="12.75">
      <c r="A618" s="5" t="s">
        <v>248</v>
      </c>
      <c r="B618" s="5" t="s">
        <v>408</v>
      </c>
      <c r="C618" s="99" t="s">
        <v>707</v>
      </c>
      <c r="D618" s="100"/>
      <c r="E618" s="100"/>
      <c r="F618" s="5" t="s">
        <v>986</v>
      </c>
      <c r="G618" s="63">
        <v>24</v>
      </c>
      <c r="H618" s="18">
        <v>0</v>
      </c>
      <c r="I618" s="18">
        <f>G618*AO618</f>
        <v>0</v>
      </c>
      <c r="J618" s="18">
        <f>G618*AP618</f>
        <v>0</v>
      </c>
      <c r="K618" s="18">
        <f>G618*H618</f>
        <v>0</v>
      </c>
      <c r="L618" s="29"/>
      <c r="Z618" s="34">
        <f>IF(AQ618="5",BJ618,0)</f>
        <v>0</v>
      </c>
      <c r="AB618" s="34">
        <f>IF(AQ618="1",BH618,0)</f>
        <v>0</v>
      </c>
      <c r="AC618" s="34">
        <f>IF(AQ618="1",BI618,0)</f>
        <v>0</v>
      </c>
      <c r="AD618" s="34">
        <f>IF(AQ618="7",BH618,0)</f>
        <v>0</v>
      </c>
      <c r="AE618" s="34">
        <f>IF(AQ618="7",BI618,0)</f>
        <v>0</v>
      </c>
      <c r="AF618" s="34">
        <f>IF(AQ618="2",BH618,0)</f>
        <v>0</v>
      </c>
      <c r="AG618" s="34">
        <f>IF(AQ618="2",BI618,0)</f>
        <v>0</v>
      </c>
      <c r="AH618" s="34">
        <f>IF(AQ618="0",BJ618,0)</f>
        <v>0</v>
      </c>
      <c r="AI618" s="28" t="s">
        <v>1021</v>
      </c>
      <c r="AJ618" s="18">
        <f>IF(AN618=0,K618,0)</f>
        <v>0</v>
      </c>
      <c r="AK618" s="18">
        <f>IF(AN618=15,K618,0)</f>
        <v>0</v>
      </c>
      <c r="AL618" s="18">
        <f>IF(AN618=21,K618,0)</f>
        <v>0</v>
      </c>
      <c r="AN618" s="34">
        <v>21</v>
      </c>
      <c r="AO618" s="34">
        <f>H618*0</f>
        <v>0</v>
      </c>
      <c r="AP618" s="34">
        <f>H618*(1-0)</f>
        <v>0</v>
      </c>
      <c r="AQ618" s="29" t="s">
        <v>12</v>
      </c>
      <c r="AV618" s="34">
        <f>AW618+AX618</f>
        <v>0</v>
      </c>
      <c r="AW618" s="34">
        <f>G618*AO618</f>
        <v>0</v>
      </c>
      <c r="AX618" s="34">
        <f>G618*AP618</f>
        <v>0</v>
      </c>
      <c r="AY618" s="35" t="s">
        <v>1041</v>
      </c>
      <c r="AZ618" s="35" t="s">
        <v>1079</v>
      </c>
      <c r="BA618" s="28" t="s">
        <v>1086</v>
      </c>
      <c r="BC618" s="34">
        <f>AW618+AX618</f>
        <v>0</v>
      </c>
      <c r="BD618" s="34">
        <f>H618/(100-BE618)*100</f>
        <v>0</v>
      </c>
      <c r="BE618" s="34">
        <v>0</v>
      </c>
      <c r="BF618" s="34">
        <f>618</f>
        <v>618</v>
      </c>
      <c r="BH618" s="18">
        <f>G618*AO618</f>
        <v>0</v>
      </c>
      <c r="BI618" s="18">
        <f>G618*AP618</f>
        <v>0</v>
      </c>
      <c r="BJ618" s="18">
        <f>G618*H618</f>
        <v>0</v>
      </c>
    </row>
    <row r="619" spans="3:7" ht="12.75">
      <c r="C619" s="101" t="s">
        <v>906</v>
      </c>
      <c r="D619" s="102"/>
      <c r="E619" s="102"/>
      <c r="G619" s="64">
        <v>24</v>
      </c>
    </row>
    <row r="620" spans="1:62" ht="12.75">
      <c r="A620" s="5" t="s">
        <v>249</v>
      </c>
      <c r="B620" s="5" t="s">
        <v>410</v>
      </c>
      <c r="C620" s="99" t="s">
        <v>710</v>
      </c>
      <c r="D620" s="100"/>
      <c r="E620" s="100"/>
      <c r="F620" s="5" t="s">
        <v>987</v>
      </c>
      <c r="G620" s="63">
        <v>0.332</v>
      </c>
      <c r="H620" s="18">
        <v>0</v>
      </c>
      <c r="I620" s="18">
        <f>G620*AO620</f>
        <v>0</v>
      </c>
      <c r="J620" s="18">
        <f>G620*AP620</f>
        <v>0</v>
      </c>
      <c r="K620" s="18">
        <f>G620*H620</f>
        <v>0</v>
      </c>
      <c r="L620" s="29"/>
      <c r="Z620" s="34">
        <f>IF(AQ620="5",BJ620,0)</f>
        <v>0</v>
      </c>
      <c r="AB620" s="34">
        <f>IF(AQ620="1",BH620,0)</f>
        <v>0</v>
      </c>
      <c r="AC620" s="34">
        <f>IF(AQ620="1",BI620,0)</f>
        <v>0</v>
      </c>
      <c r="AD620" s="34">
        <f>IF(AQ620="7",BH620,0)</f>
        <v>0</v>
      </c>
      <c r="AE620" s="34">
        <f>IF(AQ620="7",BI620,0)</f>
        <v>0</v>
      </c>
      <c r="AF620" s="34">
        <f>IF(AQ620="2",BH620,0)</f>
        <v>0</v>
      </c>
      <c r="AG620" s="34">
        <f>IF(AQ620="2",BI620,0)</f>
        <v>0</v>
      </c>
      <c r="AH620" s="34">
        <f>IF(AQ620="0",BJ620,0)</f>
        <v>0</v>
      </c>
      <c r="AI620" s="28" t="s">
        <v>1021</v>
      </c>
      <c r="AJ620" s="18">
        <f>IF(AN620=0,K620,0)</f>
        <v>0</v>
      </c>
      <c r="AK620" s="18">
        <f>IF(AN620=15,K620,0)</f>
        <v>0</v>
      </c>
      <c r="AL620" s="18">
        <f>IF(AN620=21,K620,0)</f>
        <v>0</v>
      </c>
      <c r="AN620" s="34">
        <v>21</v>
      </c>
      <c r="AO620" s="34">
        <f>H620*0</f>
        <v>0</v>
      </c>
      <c r="AP620" s="34">
        <f>H620*(1-0)</f>
        <v>0</v>
      </c>
      <c r="AQ620" s="29" t="s">
        <v>10</v>
      </c>
      <c r="AV620" s="34">
        <f>AW620+AX620</f>
        <v>0</v>
      </c>
      <c r="AW620" s="34">
        <f>G620*AO620</f>
        <v>0</v>
      </c>
      <c r="AX620" s="34">
        <f>G620*AP620</f>
        <v>0</v>
      </c>
      <c r="AY620" s="35" t="s">
        <v>1041</v>
      </c>
      <c r="AZ620" s="35" t="s">
        <v>1079</v>
      </c>
      <c r="BA620" s="28" t="s">
        <v>1086</v>
      </c>
      <c r="BC620" s="34">
        <f>AW620+AX620</f>
        <v>0</v>
      </c>
      <c r="BD620" s="34">
        <f>H620/(100-BE620)*100</f>
        <v>0</v>
      </c>
      <c r="BE620" s="34">
        <v>0</v>
      </c>
      <c r="BF620" s="34">
        <f>620</f>
        <v>620</v>
      </c>
      <c r="BH620" s="18">
        <f>G620*AO620</f>
        <v>0</v>
      </c>
      <c r="BI620" s="18">
        <f>G620*AP620</f>
        <v>0</v>
      </c>
      <c r="BJ620" s="18">
        <f>G620*H620</f>
        <v>0</v>
      </c>
    </row>
    <row r="621" spans="3:7" ht="12.75">
      <c r="C621" s="101" t="s">
        <v>907</v>
      </c>
      <c r="D621" s="102"/>
      <c r="E621" s="102"/>
      <c r="G621" s="64">
        <v>0.332</v>
      </c>
    </row>
    <row r="622" spans="1:47" ht="12.75">
      <c r="A622" s="4"/>
      <c r="B622" s="14" t="s">
        <v>411</v>
      </c>
      <c r="C622" s="97" t="s">
        <v>712</v>
      </c>
      <c r="D622" s="98"/>
      <c r="E622" s="98"/>
      <c r="F622" s="4" t="s">
        <v>5</v>
      </c>
      <c r="G622" s="4" t="s">
        <v>5</v>
      </c>
      <c r="H622" s="4" t="s">
        <v>5</v>
      </c>
      <c r="I622" s="37">
        <f>SUM(I623:I627)</f>
        <v>0</v>
      </c>
      <c r="J622" s="37">
        <f>SUM(J623:J627)</f>
        <v>0</v>
      </c>
      <c r="K622" s="37">
        <f>SUM(K623:K627)</f>
        <v>0</v>
      </c>
      <c r="L622" s="28"/>
      <c r="AI622" s="28" t="s">
        <v>1021</v>
      </c>
      <c r="AS622" s="37">
        <f>SUM(AJ623:AJ627)</f>
        <v>0</v>
      </c>
      <c r="AT622" s="37">
        <f>SUM(AK623:AK627)</f>
        <v>0</v>
      </c>
      <c r="AU622" s="37">
        <f>SUM(AL623:AL627)</f>
        <v>0</v>
      </c>
    </row>
    <row r="623" spans="1:62" ht="12.75">
      <c r="A623" s="5" t="s">
        <v>250</v>
      </c>
      <c r="B623" s="5" t="s">
        <v>412</v>
      </c>
      <c r="C623" s="99" t="s">
        <v>713</v>
      </c>
      <c r="D623" s="100"/>
      <c r="E623" s="100"/>
      <c r="F623" s="5" t="s">
        <v>988</v>
      </c>
      <c r="G623" s="63">
        <v>1</v>
      </c>
      <c r="H623" s="18">
        <v>0</v>
      </c>
      <c r="I623" s="18">
        <f>G623*AO623</f>
        <v>0</v>
      </c>
      <c r="J623" s="18">
        <f>G623*AP623</f>
        <v>0</v>
      </c>
      <c r="K623" s="18">
        <f>G623*H623</f>
        <v>0</v>
      </c>
      <c r="L623" s="29"/>
      <c r="Z623" s="34">
        <f>IF(AQ623="5",BJ623,0)</f>
        <v>0</v>
      </c>
      <c r="AB623" s="34">
        <f>IF(AQ623="1",BH623,0)</f>
        <v>0</v>
      </c>
      <c r="AC623" s="34">
        <f>IF(AQ623="1",BI623,0)</f>
        <v>0</v>
      </c>
      <c r="AD623" s="34">
        <f>IF(AQ623="7",BH623,0)</f>
        <v>0</v>
      </c>
      <c r="AE623" s="34">
        <f>IF(AQ623="7",BI623,0)</f>
        <v>0</v>
      </c>
      <c r="AF623" s="34">
        <f>IF(AQ623="2",BH623,0)</f>
        <v>0</v>
      </c>
      <c r="AG623" s="34">
        <f>IF(AQ623="2",BI623,0)</f>
        <v>0</v>
      </c>
      <c r="AH623" s="34">
        <f>IF(AQ623="0",BJ623,0)</f>
        <v>0</v>
      </c>
      <c r="AI623" s="28" t="s">
        <v>1021</v>
      </c>
      <c r="AJ623" s="18">
        <f>IF(AN623=0,K623,0)</f>
        <v>0</v>
      </c>
      <c r="AK623" s="18">
        <f>IF(AN623=15,K623,0)</f>
        <v>0</v>
      </c>
      <c r="AL623" s="18">
        <f>IF(AN623=21,K623,0)</f>
        <v>0</v>
      </c>
      <c r="AN623" s="34">
        <v>21</v>
      </c>
      <c r="AO623" s="34">
        <f>H623*0.017358608081845</f>
        <v>0</v>
      </c>
      <c r="AP623" s="34">
        <f>H623*(1-0.017358608081845)</f>
        <v>0</v>
      </c>
      <c r="AQ623" s="29" t="s">
        <v>12</v>
      </c>
      <c r="AV623" s="34">
        <f>AW623+AX623</f>
        <v>0</v>
      </c>
      <c r="AW623" s="34">
        <f>G623*AO623</f>
        <v>0</v>
      </c>
      <c r="AX623" s="34">
        <f>G623*AP623</f>
        <v>0</v>
      </c>
      <c r="AY623" s="35" t="s">
        <v>1042</v>
      </c>
      <c r="AZ623" s="35" t="s">
        <v>1079</v>
      </c>
      <c r="BA623" s="28" t="s">
        <v>1086</v>
      </c>
      <c r="BC623" s="34">
        <f>AW623+AX623</f>
        <v>0</v>
      </c>
      <c r="BD623" s="34">
        <f>H623/(100-BE623)*100</f>
        <v>0</v>
      </c>
      <c r="BE623" s="34">
        <v>0</v>
      </c>
      <c r="BF623" s="34">
        <f>623</f>
        <v>623</v>
      </c>
      <c r="BH623" s="18">
        <f>G623*AO623</f>
        <v>0</v>
      </c>
      <c r="BI623" s="18">
        <f>G623*AP623</f>
        <v>0</v>
      </c>
      <c r="BJ623" s="18">
        <f>G623*H623</f>
        <v>0</v>
      </c>
    </row>
    <row r="624" spans="3:7" ht="12.75">
      <c r="C624" s="101" t="s">
        <v>6</v>
      </c>
      <c r="D624" s="102"/>
      <c r="E624" s="102"/>
      <c r="G624" s="64">
        <v>1</v>
      </c>
    </row>
    <row r="625" spans="1:62" ht="12.75">
      <c r="A625" s="6" t="s">
        <v>251</v>
      </c>
      <c r="B625" s="6" t="s">
        <v>413</v>
      </c>
      <c r="C625" s="103" t="s">
        <v>714</v>
      </c>
      <c r="D625" s="104"/>
      <c r="E625" s="104"/>
      <c r="F625" s="6" t="s">
        <v>988</v>
      </c>
      <c r="G625" s="65">
        <v>1</v>
      </c>
      <c r="H625" s="19">
        <v>0</v>
      </c>
      <c r="I625" s="19">
        <f>G625*AO625</f>
        <v>0</v>
      </c>
      <c r="J625" s="19">
        <f>G625*AP625</f>
        <v>0</v>
      </c>
      <c r="K625" s="19">
        <f>G625*H625</f>
        <v>0</v>
      </c>
      <c r="L625" s="30"/>
      <c r="Z625" s="34">
        <f>IF(AQ625="5",BJ625,0)</f>
        <v>0</v>
      </c>
      <c r="AB625" s="34">
        <f>IF(AQ625="1",BH625,0)</f>
        <v>0</v>
      </c>
      <c r="AC625" s="34">
        <f>IF(AQ625="1",BI625,0)</f>
        <v>0</v>
      </c>
      <c r="AD625" s="34">
        <f>IF(AQ625="7",BH625,0)</f>
        <v>0</v>
      </c>
      <c r="AE625" s="34">
        <f>IF(AQ625="7",BI625,0)</f>
        <v>0</v>
      </c>
      <c r="AF625" s="34">
        <f>IF(AQ625="2",BH625,0)</f>
        <v>0</v>
      </c>
      <c r="AG625" s="34">
        <f>IF(AQ625="2",BI625,0)</f>
        <v>0</v>
      </c>
      <c r="AH625" s="34">
        <f>IF(AQ625="0",BJ625,0)</f>
        <v>0</v>
      </c>
      <c r="AI625" s="28" t="s">
        <v>1021</v>
      </c>
      <c r="AJ625" s="19">
        <f>IF(AN625=0,K625,0)</f>
        <v>0</v>
      </c>
      <c r="AK625" s="19">
        <f>IF(AN625=15,K625,0)</f>
        <v>0</v>
      </c>
      <c r="AL625" s="19">
        <f>IF(AN625=21,K625,0)</f>
        <v>0</v>
      </c>
      <c r="AN625" s="34">
        <v>21</v>
      </c>
      <c r="AO625" s="34">
        <f>H625*1</f>
        <v>0</v>
      </c>
      <c r="AP625" s="34">
        <f>H625*(1-1)</f>
        <v>0</v>
      </c>
      <c r="AQ625" s="30" t="s">
        <v>12</v>
      </c>
      <c r="AV625" s="34">
        <f>AW625+AX625</f>
        <v>0</v>
      </c>
      <c r="AW625" s="34">
        <f>G625*AO625</f>
        <v>0</v>
      </c>
      <c r="AX625" s="34">
        <f>G625*AP625</f>
        <v>0</v>
      </c>
      <c r="AY625" s="35" t="s">
        <v>1042</v>
      </c>
      <c r="AZ625" s="35" t="s">
        <v>1079</v>
      </c>
      <c r="BA625" s="28" t="s">
        <v>1086</v>
      </c>
      <c r="BC625" s="34">
        <f>AW625+AX625</f>
        <v>0</v>
      </c>
      <c r="BD625" s="34">
        <f>H625/(100-BE625)*100</f>
        <v>0</v>
      </c>
      <c r="BE625" s="34">
        <v>0</v>
      </c>
      <c r="BF625" s="34">
        <f>625</f>
        <v>625</v>
      </c>
      <c r="BH625" s="19">
        <f>G625*AO625</f>
        <v>0</v>
      </c>
      <c r="BI625" s="19">
        <f>G625*AP625</f>
        <v>0</v>
      </c>
      <c r="BJ625" s="19">
        <f>G625*H625</f>
        <v>0</v>
      </c>
    </row>
    <row r="626" spans="3:7" ht="12.75">
      <c r="C626" s="101" t="s">
        <v>6</v>
      </c>
      <c r="D626" s="102"/>
      <c r="E626" s="102"/>
      <c r="G626" s="64">
        <v>1</v>
      </c>
    </row>
    <row r="627" spans="1:62" ht="12.75">
      <c r="A627" s="5" t="s">
        <v>252</v>
      </c>
      <c r="B627" s="5" t="s">
        <v>414</v>
      </c>
      <c r="C627" s="99" t="s">
        <v>715</v>
      </c>
      <c r="D627" s="100"/>
      <c r="E627" s="100"/>
      <c r="F627" s="5" t="s">
        <v>987</v>
      </c>
      <c r="G627" s="63">
        <v>0.035</v>
      </c>
      <c r="H627" s="18">
        <v>0</v>
      </c>
      <c r="I627" s="18">
        <f>G627*AO627</f>
        <v>0</v>
      </c>
      <c r="J627" s="18">
        <f>G627*AP627</f>
        <v>0</v>
      </c>
      <c r="K627" s="18">
        <f>G627*H627</f>
        <v>0</v>
      </c>
      <c r="L627" s="29"/>
      <c r="Z627" s="34">
        <f>IF(AQ627="5",BJ627,0)</f>
        <v>0</v>
      </c>
      <c r="AB627" s="34">
        <f>IF(AQ627="1",BH627,0)</f>
        <v>0</v>
      </c>
      <c r="AC627" s="34">
        <f>IF(AQ627="1",BI627,0)</f>
        <v>0</v>
      </c>
      <c r="AD627" s="34">
        <f>IF(AQ627="7",BH627,0)</f>
        <v>0</v>
      </c>
      <c r="AE627" s="34">
        <f>IF(AQ627="7",BI627,0)</f>
        <v>0</v>
      </c>
      <c r="AF627" s="34">
        <f>IF(AQ627="2",BH627,0)</f>
        <v>0</v>
      </c>
      <c r="AG627" s="34">
        <f>IF(AQ627="2",BI627,0)</f>
        <v>0</v>
      </c>
      <c r="AH627" s="34">
        <f>IF(AQ627="0",BJ627,0)</f>
        <v>0</v>
      </c>
      <c r="AI627" s="28" t="s">
        <v>1021</v>
      </c>
      <c r="AJ627" s="18">
        <f>IF(AN627=0,K627,0)</f>
        <v>0</v>
      </c>
      <c r="AK627" s="18">
        <f>IF(AN627=15,K627,0)</f>
        <v>0</v>
      </c>
      <c r="AL627" s="18">
        <f>IF(AN627=21,K627,0)</f>
        <v>0</v>
      </c>
      <c r="AN627" s="34">
        <v>21</v>
      </c>
      <c r="AO627" s="34">
        <f>H627*0</f>
        <v>0</v>
      </c>
      <c r="AP627" s="34">
        <f>H627*(1-0)</f>
        <v>0</v>
      </c>
      <c r="AQ627" s="29" t="s">
        <v>10</v>
      </c>
      <c r="AV627" s="34">
        <f>AW627+AX627</f>
        <v>0</v>
      </c>
      <c r="AW627" s="34">
        <f>G627*AO627</f>
        <v>0</v>
      </c>
      <c r="AX627" s="34">
        <f>G627*AP627</f>
        <v>0</v>
      </c>
      <c r="AY627" s="35" t="s">
        <v>1042</v>
      </c>
      <c r="AZ627" s="35" t="s">
        <v>1079</v>
      </c>
      <c r="BA627" s="28" t="s">
        <v>1086</v>
      </c>
      <c r="BC627" s="34">
        <f>AW627+AX627</f>
        <v>0</v>
      </c>
      <c r="BD627" s="34">
        <f>H627/(100-BE627)*100</f>
        <v>0</v>
      </c>
      <c r="BE627" s="34">
        <v>0</v>
      </c>
      <c r="BF627" s="34">
        <f>627</f>
        <v>627</v>
      </c>
      <c r="BH627" s="18">
        <f>G627*AO627</f>
        <v>0</v>
      </c>
      <c r="BI627" s="18">
        <f>G627*AP627</f>
        <v>0</v>
      </c>
      <c r="BJ627" s="18">
        <f>G627*H627</f>
        <v>0</v>
      </c>
    </row>
    <row r="628" spans="3:7" ht="12.75">
      <c r="C628" s="101" t="s">
        <v>716</v>
      </c>
      <c r="D628" s="102"/>
      <c r="E628" s="102"/>
      <c r="G628" s="64">
        <v>0.035</v>
      </c>
    </row>
    <row r="629" spans="1:47" ht="12.75">
      <c r="A629" s="4"/>
      <c r="B629" s="14" t="s">
        <v>494</v>
      </c>
      <c r="C629" s="97" t="s">
        <v>908</v>
      </c>
      <c r="D629" s="98"/>
      <c r="E629" s="98"/>
      <c r="F629" s="4" t="s">
        <v>5</v>
      </c>
      <c r="G629" s="4" t="s">
        <v>5</v>
      </c>
      <c r="H629" s="4" t="s">
        <v>5</v>
      </c>
      <c r="I629" s="37">
        <f>SUM(I630:I637)</f>
        <v>0</v>
      </c>
      <c r="J629" s="37">
        <f>SUM(J630:J637)</f>
        <v>0</v>
      </c>
      <c r="K629" s="37">
        <f>SUM(K630:K637)</f>
        <v>0</v>
      </c>
      <c r="L629" s="28"/>
      <c r="AI629" s="28" t="s">
        <v>1021</v>
      </c>
      <c r="AS629" s="37">
        <f>SUM(AJ630:AJ637)</f>
        <v>0</v>
      </c>
      <c r="AT629" s="37">
        <f>SUM(AK630:AK637)</f>
        <v>0</v>
      </c>
      <c r="AU629" s="37">
        <f>SUM(AL630:AL637)</f>
        <v>0</v>
      </c>
    </row>
    <row r="630" spans="1:62" ht="12.75">
      <c r="A630" s="5" t="s">
        <v>253</v>
      </c>
      <c r="B630" s="5" t="s">
        <v>495</v>
      </c>
      <c r="C630" s="99" t="s">
        <v>909</v>
      </c>
      <c r="D630" s="100"/>
      <c r="E630" s="100"/>
      <c r="F630" s="5" t="s">
        <v>984</v>
      </c>
      <c r="G630" s="63">
        <v>3.15</v>
      </c>
      <c r="H630" s="18">
        <v>0</v>
      </c>
      <c r="I630" s="18">
        <f>G630*AO630</f>
        <v>0</v>
      </c>
      <c r="J630" s="18">
        <f>G630*AP630</f>
        <v>0</v>
      </c>
      <c r="K630" s="18">
        <f>G630*H630</f>
        <v>0</v>
      </c>
      <c r="L630" s="29"/>
      <c r="Z630" s="34">
        <f>IF(AQ630="5",BJ630,0)</f>
        <v>0</v>
      </c>
      <c r="AB630" s="34">
        <f>IF(AQ630="1",BH630,0)</f>
        <v>0</v>
      </c>
      <c r="AC630" s="34">
        <f>IF(AQ630="1",BI630,0)</f>
        <v>0</v>
      </c>
      <c r="AD630" s="34">
        <f>IF(AQ630="7",BH630,0)</f>
        <v>0</v>
      </c>
      <c r="AE630" s="34">
        <f>IF(AQ630="7",BI630,0)</f>
        <v>0</v>
      </c>
      <c r="AF630" s="34">
        <f>IF(AQ630="2",BH630,0)</f>
        <v>0</v>
      </c>
      <c r="AG630" s="34">
        <f>IF(AQ630="2",BI630,0)</f>
        <v>0</v>
      </c>
      <c r="AH630" s="34">
        <f>IF(AQ630="0",BJ630,0)</f>
        <v>0</v>
      </c>
      <c r="AI630" s="28" t="s">
        <v>1021</v>
      </c>
      <c r="AJ630" s="18">
        <f>IF(AN630=0,K630,0)</f>
        <v>0</v>
      </c>
      <c r="AK630" s="18">
        <f>IF(AN630=15,K630,0)</f>
        <v>0</v>
      </c>
      <c r="AL630" s="18">
        <f>IF(AN630=21,K630,0)</f>
        <v>0</v>
      </c>
      <c r="AN630" s="34">
        <v>21</v>
      </c>
      <c r="AO630" s="34">
        <f>H630*0.00398945518453427</f>
        <v>0</v>
      </c>
      <c r="AP630" s="34">
        <f>H630*(1-0.00398945518453427)</f>
        <v>0</v>
      </c>
      <c r="AQ630" s="29" t="s">
        <v>12</v>
      </c>
      <c r="AV630" s="34">
        <f>AW630+AX630</f>
        <v>0</v>
      </c>
      <c r="AW630" s="34">
        <f>G630*AO630</f>
        <v>0</v>
      </c>
      <c r="AX630" s="34">
        <f>G630*AP630</f>
        <v>0</v>
      </c>
      <c r="AY630" s="35" t="s">
        <v>1058</v>
      </c>
      <c r="AZ630" s="35" t="s">
        <v>1079</v>
      </c>
      <c r="BA630" s="28" t="s">
        <v>1086</v>
      </c>
      <c r="BC630" s="34">
        <f>AW630+AX630</f>
        <v>0</v>
      </c>
      <c r="BD630" s="34">
        <f>H630/(100-BE630)*100</f>
        <v>0</v>
      </c>
      <c r="BE630" s="34">
        <v>0</v>
      </c>
      <c r="BF630" s="34">
        <f>630</f>
        <v>630</v>
      </c>
      <c r="BH630" s="18">
        <f>G630*AO630</f>
        <v>0</v>
      </c>
      <c r="BI630" s="18">
        <f>G630*AP630</f>
        <v>0</v>
      </c>
      <c r="BJ630" s="18">
        <f>G630*H630</f>
        <v>0</v>
      </c>
    </row>
    <row r="631" spans="3:7" ht="12.75">
      <c r="C631" s="101" t="s">
        <v>910</v>
      </c>
      <c r="D631" s="102"/>
      <c r="E631" s="102"/>
      <c r="G631" s="64">
        <v>3.15</v>
      </c>
    </row>
    <row r="632" spans="1:62" ht="12.75">
      <c r="A632" s="6" t="s">
        <v>254</v>
      </c>
      <c r="B632" s="6" t="s">
        <v>496</v>
      </c>
      <c r="C632" s="103" t="s">
        <v>911</v>
      </c>
      <c r="D632" s="104"/>
      <c r="E632" s="104"/>
      <c r="F632" s="6" t="s">
        <v>984</v>
      </c>
      <c r="G632" s="65">
        <v>3.623</v>
      </c>
      <c r="H632" s="19">
        <v>0</v>
      </c>
      <c r="I632" s="19">
        <f>G632*AO632</f>
        <v>0</v>
      </c>
      <c r="J632" s="19">
        <f>G632*AP632</f>
        <v>0</v>
      </c>
      <c r="K632" s="19">
        <f>G632*H632</f>
        <v>0</v>
      </c>
      <c r="L632" s="30"/>
      <c r="Z632" s="34">
        <f>IF(AQ632="5",BJ632,0)</f>
        <v>0</v>
      </c>
      <c r="AB632" s="34">
        <f>IF(AQ632="1",BH632,0)</f>
        <v>0</v>
      </c>
      <c r="AC632" s="34">
        <f>IF(AQ632="1",BI632,0)</f>
        <v>0</v>
      </c>
      <c r="AD632" s="34">
        <f>IF(AQ632="7",BH632,0)</f>
        <v>0</v>
      </c>
      <c r="AE632" s="34">
        <f>IF(AQ632="7",BI632,0)</f>
        <v>0</v>
      </c>
      <c r="AF632" s="34">
        <f>IF(AQ632="2",BH632,0)</f>
        <v>0</v>
      </c>
      <c r="AG632" s="34">
        <f>IF(AQ632="2",BI632,0)</f>
        <v>0</v>
      </c>
      <c r="AH632" s="34">
        <f>IF(AQ632="0",BJ632,0)</f>
        <v>0</v>
      </c>
      <c r="AI632" s="28" t="s">
        <v>1021</v>
      </c>
      <c r="AJ632" s="19">
        <f>IF(AN632=0,K632,0)</f>
        <v>0</v>
      </c>
      <c r="AK632" s="19">
        <f>IF(AN632=15,K632,0)</f>
        <v>0</v>
      </c>
      <c r="AL632" s="19">
        <f>IF(AN632=21,K632,0)</f>
        <v>0</v>
      </c>
      <c r="AN632" s="34">
        <v>21</v>
      </c>
      <c r="AO632" s="34">
        <f>H632*1</f>
        <v>0</v>
      </c>
      <c r="AP632" s="34">
        <f>H632*(1-1)</f>
        <v>0</v>
      </c>
      <c r="AQ632" s="30" t="s">
        <v>12</v>
      </c>
      <c r="AV632" s="34">
        <f>AW632+AX632</f>
        <v>0</v>
      </c>
      <c r="AW632" s="34">
        <f>G632*AO632</f>
        <v>0</v>
      </c>
      <c r="AX632" s="34">
        <f>G632*AP632</f>
        <v>0</v>
      </c>
      <c r="AY632" s="35" t="s">
        <v>1058</v>
      </c>
      <c r="AZ632" s="35" t="s">
        <v>1079</v>
      </c>
      <c r="BA632" s="28" t="s">
        <v>1086</v>
      </c>
      <c r="BC632" s="34">
        <f>AW632+AX632</f>
        <v>0</v>
      </c>
      <c r="BD632" s="34">
        <f>H632/(100-BE632)*100</f>
        <v>0</v>
      </c>
      <c r="BE632" s="34">
        <v>0</v>
      </c>
      <c r="BF632" s="34">
        <f>632</f>
        <v>632</v>
      </c>
      <c r="BH632" s="19">
        <f>G632*AO632</f>
        <v>0</v>
      </c>
      <c r="BI632" s="19">
        <f>G632*AP632</f>
        <v>0</v>
      </c>
      <c r="BJ632" s="19">
        <f>G632*H632</f>
        <v>0</v>
      </c>
    </row>
    <row r="633" spans="3:7" ht="12.75">
      <c r="C633" s="101" t="s">
        <v>910</v>
      </c>
      <c r="D633" s="102"/>
      <c r="E633" s="102"/>
      <c r="G633" s="64">
        <v>3.15</v>
      </c>
    </row>
    <row r="634" spans="3:7" ht="12.75">
      <c r="C634" s="101" t="s">
        <v>912</v>
      </c>
      <c r="D634" s="102"/>
      <c r="E634" s="102"/>
      <c r="G634" s="64">
        <v>0.473</v>
      </c>
    </row>
    <row r="635" spans="1:62" ht="12.75">
      <c r="A635" s="6" t="s">
        <v>255</v>
      </c>
      <c r="B635" s="6" t="s">
        <v>497</v>
      </c>
      <c r="C635" s="103" t="s">
        <v>913</v>
      </c>
      <c r="D635" s="104"/>
      <c r="E635" s="104"/>
      <c r="F635" s="6" t="s">
        <v>984</v>
      </c>
      <c r="G635" s="65">
        <v>3.15</v>
      </c>
      <c r="H635" s="19">
        <v>0</v>
      </c>
      <c r="I635" s="19">
        <f>G635*AO635</f>
        <v>0</v>
      </c>
      <c r="J635" s="19">
        <f>G635*AP635</f>
        <v>0</v>
      </c>
      <c r="K635" s="19">
        <f>G635*H635</f>
        <v>0</v>
      </c>
      <c r="L635" s="30"/>
      <c r="Z635" s="34">
        <f>IF(AQ635="5",BJ635,0)</f>
        <v>0</v>
      </c>
      <c r="AB635" s="34">
        <f>IF(AQ635="1",BH635,0)</f>
        <v>0</v>
      </c>
      <c r="AC635" s="34">
        <f>IF(AQ635="1",BI635,0)</f>
        <v>0</v>
      </c>
      <c r="AD635" s="34">
        <f>IF(AQ635="7",BH635,0)</f>
        <v>0</v>
      </c>
      <c r="AE635" s="34">
        <f>IF(AQ635="7",BI635,0)</f>
        <v>0</v>
      </c>
      <c r="AF635" s="34">
        <f>IF(AQ635="2",BH635,0)</f>
        <v>0</v>
      </c>
      <c r="AG635" s="34">
        <f>IF(AQ635="2",BI635,0)</f>
        <v>0</v>
      </c>
      <c r="AH635" s="34">
        <f>IF(AQ635="0",BJ635,0)</f>
        <v>0</v>
      </c>
      <c r="AI635" s="28" t="s">
        <v>1021</v>
      </c>
      <c r="AJ635" s="19">
        <f>IF(AN635=0,K635,0)</f>
        <v>0</v>
      </c>
      <c r="AK635" s="19">
        <f>IF(AN635=15,K635,0)</f>
        <v>0</v>
      </c>
      <c r="AL635" s="19">
        <f>IF(AN635=21,K635,0)</f>
        <v>0</v>
      </c>
      <c r="AN635" s="34">
        <v>21</v>
      </c>
      <c r="AO635" s="34">
        <f>H635*1</f>
        <v>0</v>
      </c>
      <c r="AP635" s="34">
        <f>H635*(1-1)</f>
        <v>0</v>
      </c>
      <c r="AQ635" s="30" t="s">
        <v>12</v>
      </c>
      <c r="AV635" s="34">
        <f>AW635+AX635</f>
        <v>0</v>
      </c>
      <c r="AW635" s="34">
        <f>G635*AO635</f>
        <v>0</v>
      </c>
      <c r="AX635" s="34">
        <f>G635*AP635</f>
        <v>0</v>
      </c>
      <c r="AY635" s="35" t="s">
        <v>1058</v>
      </c>
      <c r="AZ635" s="35" t="s">
        <v>1079</v>
      </c>
      <c r="BA635" s="28" t="s">
        <v>1086</v>
      </c>
      <c r="BC635" s="34">
        <f>AW635+AX635</f>
        <v>0</v>
      </c>
      <c r="BD635" s="34">
        <f>H635/(100-BE635)*100</f>
        <v>0</v>
      </c>
      <c r="BE635" s="34">
        <v>0</v>
      </c>
      <c r="BF635" s="34">
        <f>635</f>
        <v>635</v>
      </c>
      <c r="BH635" s="19">
        <f>G635*AO635</f>
        <v>0</v>
      </c>
      <c r="BI635" s="19">
        <f>G635*AP635</f>
        <v>0</v>
      </c>
      <c r="BJ635" s="19">
        <f>G635*H635</f>
        <v>0</v>
      </c>
    </row>
    <row r="636" spans="3:7" ht="12.75">
      <c r="C636" s="101" t="s">
        <v>914</v>
      </c>
      <c r="D636" s="102"/>
      <c r="E636" s="102"/>
      <c r="G636" s="64">
        <v>3.15</v>
      </c>
    </row>
    <row r="637" spans="1:62" ht="12.75">
      <c r="A637" s="5" t="s">
        <v>256</v>
      </c>
      <c r="B637" s="5" t="s">
        <v>498</v>
      </c>
      <c r="C637" s="99" t="s">
        <v>915</v>
      </c>
      <c r="D637" s="100"/>
      <c r="E637" s="100"/>
      <c r="F637" s="5" t="s">
        <v>987</v>
      </c>
      <c r="G637" s="63">
        <v>0.034</v>
      </c>
      <c r="H637" s="18">
        <v>0</v>
      </c>
      <c r="I637" s="18">
        <f>G637*AO637</f>
        <v>0</v>
      </c>
      <c r="J637" s="18">
        <f>G637*AP637</f>
        <v>0</v>
      </c>
      <c r="K637" s="18">
        <f>G637*H637</f>
        <v>0</v>
      </c>
      <c r="L637" s="29"/>
      <c r="Z637" s="34">
        <f>IF(AQ637="5",BJ637,0)</f>
        <v>0</v>
      </c>
      <c r="AB637" s="34">
        <f>IF(AQ637="1",BH637,0)</f>
        <v>0</v>
      </c>
      <c r="AC637" s="34">
        <f>IF(AQ637="1",BI637,0)</f>
        <v>0</v>
      </c>
      <c r="AD637" s="34">
        <f>IF(AQ637="7",BH637,0)</f>
        <v>0</v>
      </c>
      <c r="AE637" s="34">
        <f>IF(AQ637="7",BI637,0)</f>
        <v>0</v>
      </c>
      <c r="AF637" s="34">
        <f>IF(AQ637="2",BH637,0)</f>
        <v>0</v>
      </c>
      <c r="AG637" s="34">
        <f>IF(AQ637="2",BI637,0)</f>
        <v>0</v>
      </c>
      <c r="AH637" s="34">
        <f>IF(AQ637="0",BJ637,0)</f>
        <v>0</v>
      </c>
      <c r="AI637" s="28" t="s">
        <v>1021</v>
      </c>
      <c r="AJ637" s="18">
        <f>IF(AN637=0,K637,0)</f>
        <v>0</v>
      </c>
      <c r="AK637" s="18">
        <f>IF(AN637=15,K637,0)</f>
        <v>0</v>
      </c>
      <c r="AL637" s="18">
        <f>IF(AN637=21,K637,0)</f>
        <v>0</v>
      </c>
      <c r="AN637" s="34">
        <v>21</v>
      </c>
      <c r="AO637" s="34">
        <f>H637*0</f>
        <v>0</v>
      </c>
      <c r="AP637" s="34">
        <f>H637*(1-0)</f>
        <v>0</v>
      </c>
      <c r="AQ637" s="29" t="s">
        <v>10</v>
      </c>
      <c r="AV637" s="34">
        <f>AW637+AX637</f>
        <v>0</v>
      </c>
      <c r="AW637" s="34">
        <f>G637*AO637</f>
        <v>0</v>
      </c>
      <c r="AX637" s="34">
        <f>G637*AP637</f>
        <v>0</v>
      </c>
      <c r="AY637" s="35" t="s">
        <v>1058</v>
      </c>
      <c r="AZ637" s="35" t="s">
        <v>1079</v>
      </c>
      <c r="BA637" s="28" t="s">
        <v>1086</v>
      </c>
      <c r="BC637" s="34">
        <f>AW637+AX637</f>
        <v>0</v>
      </c>
      <c r="BD637" s="34">
        <f>H637/(100-BE637)*100</f>
        <v>0</v>
      </c>
      <c r="BE637" s="34">
        <v>0</v>
      </c>
      <c r="BF637" s="34">
        <f>637</f>
        <v>637</v>
      </c>
      <c r="BH637" s="18">
        <f>G637*AO637</f>
        <v>0</v>
      </c>
      <c r="BI637" s="18">
        <f>G637*AP637</f>
        <v>0</v>
      </c>
      <c r="BJ637" s="18">
        <f>G637*H637</f>
        <v>0</v>
      </c>
    </row>
    <row r="638" spans="3:7" ht="12.75">
      <c r="C638" s="101" t="s">
        <v>916</v>
      </c>
      <c r="D638" s="102"/>
      <c r="E638" s="102"/>
      <c r="G638" s="64">
        <v>0.034</v>
      </c>
    </row>
    <row r="639" spans="1:47" ht="12.75">
      <c r="A639" s="4"/>
      <c r="B639" s="14" t="s">
        <v>499</v>
      </c>
      <c r="C639" s="97" t="s">
        <v>917</v>
      </c>
      <c r="D639" s="98"/>
      <c r="E639" s="98"/>
      <c r="F639" s="4" t="s">
        <v>5</v>
      </c>
      <c r="G639" s="4" t="s">
        <v>5</v>
      </c>
      <c r="H639" s="4" t="s">
        <v>5</v>
      </c>
      <c r="I639" s="37">
        <f>SUM(I640:I640)</f>
        <v>0</v>
      </c>
      <c r="J639" s="37">
        <f>SUM(J640:J640)</f>
        <v>0</v>
      </c>
      <c r="K639" s="37">
        <f>SUM(K640:K640)</f>
        <v>0</v>
      </c>
      <c r="L639" s="28"/>
      <c r="AI639" s="28" t="s">
        <v>1021</v>
      </c>
      <c r="AS639" s="37">
        <f>SUM(AJ640:AJ640)</f>
        <v>0</v>
      </c>
      <c r="AT639" s="37">
        <f>SUM(AK640:AK640)</f>
        <v>0</v>
      </c>
      <c r="AU639" s="37">
        <f>SUM(AL640:AL640)</f>
        <v>0</v>
      </c>
    </row>
    <row r="640" spans="1:62" ht="12.75">
      <c r="A640" s="5" t="s">
        <v>257</v>
      </c>
      <c r="B640" s="5" t="s">
        <v>500</v>
      </c>
      <c r="C640" s="99" t="s">
        <v>918</v>
      </c>
      <c r="D640" s="100"/>
      <c r="E640" s="100"/>
      <c r="F640" s="5" t="s">
        <v>984</v>
      </c>
      <c r="G640" s="63">
        <v>16.53</v>
      </c>
      <c r="H640" s="18">
        <v>0</v>
      </c>
      <c r="I640" s="18">
        <f>G640*AO640</f>
        <v>0</v>
      </c>
      <c r="J640" s="18">
        <f>G640*AP640</f>
        <v>0</v>
      </c>
      <c r="K640" s="18">
        <f>G640*H640</f>
        <v>0</v>
      </c>
      <c r="L640" s="29"/>
      <c r="Z640" s="34">
        <f>IF(AQ640="5",BJ640,0)</f>
        <v>0</v>
      </c>
      <c r="AB640" s="34">
        <f>IF(AQ640="1",BH640,0)</f>
        <v>0</v>
      </c>
      <c r="AC640" s="34">
        <f>IF(AQ640="1",BI640,0)</f>
        <v>0</v>
      </c>
      <c r="AD640" s="34">
        <f>IF(AQ640="7",BH640,0)</f>
        <v>0</v>
      </c>
      <c r="AE640" s="34">
        <f>IF(AQ640="7",BI640,0)</f>
        <v>0</v>
      </c>
      <c r="AF640" s="34">
        <f>IF(AQ640="2",BH640,0)</f>
        <v>0</v>
      </c>
      <c r="AG640" s="34">
        <f>IF(AQ640="2",BI640,0)</f>
        <v>0</v>
      </c>
      <c r="AH640" s="34">
        <f>IF(AQ640="0",BJ640,0)</f>
        <v>0</v>
      </c>
      <c r="AI640" s="28" t="s">
        <v>1021</v>
      </c>
      <c r="AJ640" s="18">
        <f>IF(AN640=0,K640,0)</f>
        <v>0</v>
      </c>
      <c r="AK640" s="18">
        <f>IF(AN640=15,K640,0)</f>
        <v>0</v>
      </c>
      <c r="AL640" s="18">
        <f>IF(AN640=21,K640,0)</f>
        <v>0</v>
      </c>
      <c r="AN640" s="34">
        <v>21</v>
      </c>
      <c r="AO640" s="34">
        <f>H640*0.293825209846935</f>
        <v>0</v>
      </c>
      <c r="AP640" s="34">
        <f>H640*(1-0.293825209846935)</f>
        <v>0</v>
      </c>
      <c r="AQ640" s="29" t="s">
        <v>12</v>
      </c>
      <c r="AV640" s="34">
        <f>AW640+AX640</f>
        <v>0</v>
      </c>
      <c r="AW640" s="34">
        <f>G640*AO640</f>
        <v>0</v>
      </c>
      <c r="AX640" s="34">
        <f>G640*AP640</f>
        <v>0</v>
      </c>
      <c r="AY640" s="35" t="s">
        <v>1059</v>
      </c>
      <c r="AZ640" s="35" t="s">
        <v>1080</v>
      </c>
      <c r="BA640" s="28" t="s">
        <v>1086</v>
      </c>
      <c r="BC640" s="34">
        <f>AW640+AX640</f>
        <v>0</v>
      </c>
      <c r="BD640" s="34">
        <f>H640/(100-BE640)*100</f>
        <v>0</v>
      </c>
      <c r="BE640" s="34">
        <v>0</v>
      </c>
      <c r="BF640" s="34">
        <f>640</f>
        <v>640</v>
      </c>
      <c r="BH640" s="18">
        <f>G640*AO640</f>
        <v>0</v>
      </c>
      <c r="BI640" s="18">
        <f>G640*AP640</f>
        <v>0</v>
      </c>
      <c r="BJ640" s="18">
        <f>G640*H640</f>
        <v>0</v>
      </c>
    </row>
    <row r="641" spans="3:7" ht="12.75">
      <c r="C641" s="101" t="s">
        <v>919</v>
      </c>
      <c r="D641" s="102"/>
      <c r="E641" s="102"/>
      <c r="G641" s="64">
        <v>16.53</v>
      </c>
    </row>
    <row r="642" spans="1:47" ht="12.75">
      <c r="A642" s="4"/>
      <c r="B642" s="14" t="s">
        <v>95</v>
      </c>
      <c r="C642" s="97" t="s">
        <v>717</v>
      </c>
      <c r="D642" s="98"/>
      <c r="E642" s="98"/>
      <c r="F642" s="4" t="s">
        <v>5</v>
      </c>
      <c r="G642" s="4" t="s">
        <v>5</v>
      </c>
      <c r="H642" s="4" t="s">
        <v>5</v>
      </c>
      <c r="I642" s="37">
        <f>SUM(I643:I643)</f>
        <v>0</v>
      </c>
      <c r="J642" s="37">
        <f>SUM(J643:J643)</f>
        <v>0</v>
      </c>
      <c r="K642" s="37">
        <f>SUM(K643:K643)</f>
        <v>0</v>
      </c>
      <c r="L642" s="28"/>
      <c r="AI642" s="28" t="s">
        <v>1021</v>
      </c>
      <c r="AS642" s="37">
        <f>SUM(AJ643:AJ643)</f>
        <v>0</v>
      </c>
      <c r="AT642" s="37">
        <f>SUM(AK643:AK643)</f>
        <v>0</v>
      </c>
      <c r="AU642" s="37">
        <f>SUM(AL643:AL643)</f>
        <v>0</v>
      </c>
    </row>
    <row r="643" spans="1:62" ht="12.75">
      <c r="A643" s="5" t="s">
        <v>258</v>
      </c>
      <c r="B643" s="5" t="s">
        <v>415</v>
      </c>
      <c r="C643" s="99" t="s">
        <v>718</v>
      </c>
      <c r="D643" s="100"/>
      <c r="E643" s="100"/>
      <c r="F643" s="5" t="s">
        <v>989</v>
      </c>
      <c r="G643" s="63">
        <v>8</v>
      </c>
      <c r="H643" s="18">
        <v>0</v>
      </c>
      <c r="I643" s="18">
        <f>G643*AO643</f>
        <v>0</v>
      </c>
      <c r="J643" s="18">
        <f>G643*AP643</f>
        <v>0</v>
      </c>
      <c r="K643" s="18">
        <f>G643*H643</f>
        <v>0</v>
      </c>
      <c r="L643" s="29"/>
      <c r="Z643" s="34">
        <f>IF(AQ643="5",BJ643,0)</f>
        <v>0</v>
      </c>
      <c r="AB643" s="34">
        <f>IF(AQ643="1",BH643,0)</f>
        <v>0</v>
      </c>
      <c r="AC643" s="34">
        <f>IF(AQ643="1",BI643,0)</f>
        <v>0</v>
      </c>
      <c r="AD643" s="34">
        <f>IF(AQ643="7",BH643,0)</f>
        <v>0</v>
      </c>
      <c r="AE643" s="34">
        <f>IF(AQ643="7",BI643,0)</f>
        <v>0</v>
      </c>
      <c r="AF643" s="34">
        <f>IF(AQ643="2",BH643,0)</f>
        <v>0</v>
      </c>
      <c r="AG643" s="34">
        <f>IF(AQ643="2",BI643,0)</f>
        <v>0</v>
      </c>
      <c r="AH643" s="34">
        <f>IF(AQ643="0",BJ643,0)</f>
        <v>0</v>
      </c>
      <c r="AI643" s="28" t="s">
        <v>1021</v>
      </c>
      <c r="AJ643" s="18">
        <f>IF(AN643=0,K643,0)</f>
        <v>0</v>
      </c>
      <c r="AK643" s="18">
        <f>IF(AN643=15,K643,0)</f>
        <v>0</v>
      </c>
      <c r="AL643" s="18">
        <f>IF(AN643=21,K643,0)</f>
        <v>0</v>
      </c>
      <c r="AN643" s="34">
        <v>21</v>
      </c>
      <c r="AO643" s="34">
        <f>H643*0</f>
        <v>0</v>
      </c>
      <c r="AP643" s="34">
        <f>H643*(1-0)</f>
        <v>0</v>
      </c>
      <c r="AQ643" s="29" t="s">
        <v>6</v>
      </c>
      <c r="AV643" s="34">
        <f>AW643+AX643</f>
        <v>0</v>
      </c>
      <c r="AW643" s="34">
        <f>G643*AO643</f>
        <v>0</v>
      </c>
      <c r="AX643" s="34">
        <f>G643*AP643</f>
        <v>0</v>
      </c>
      <c r="AY643" s="35" t="s">
        <v>1043</v>
      </c>
      <c r="AZ643" s="35" t="s">
        <v>1081</v>
      </c>
      <c r="BA643" s="28" t="s">
        <v>1086</v>
      </c>
      <c r="BC643" s="34">
        <f>AW643+AX643</f>
        <v>0</v>
      </c>
      <c r="BD643" s="34">
        <f>H643/(100-BE643)*100</f>
        <v>0</v>
      </c>
      <c r="BE643" s="34">
        <v>0</v>
      </c>
      <c r="BF643" s="34">
        <f>643</f>
        <v>643</v>
      </c>
      <c r="BH643" s="18">
        <f>G643*AO643</f>
        <v>0</v>
      </c>
      <c r="BI643" s="18">
        <f>G643*AP643</f>
        <v>0</v>
      </c>
      <c r="BJ643" s="18">
        <f>G643*H643</f>
        <v>0</v>
      </c>
    </row>
    <row r="644" spans="3:7" ht="12.75">
      <c r="C644" s="101" t="s">
        <v>13</v>
      </c>
      <c r="D644" s="102"/>
      <c r="E644" s="102"/>
      <c r="G644" s="64">
        <v>8</v>
      </c>
    </row>
    <row r="645" spans="1:47" ht="12.75">
      <c r="A645" s="4"/>
      <c r="B645" s="14" t="s">
        <v>96</v>
      </c>
      <c r="C645" s="97" t="s">
        <v>719</v>
      </c>
      <c r="D645" s="98"/>
      <c r="E645" s="98"/>
      <c r="F645" s="4" t="s">
        <v>5</v>
      </c>
      <c r="G645" s="4" t="s">
        <v>5</v>
      </c>
      <c r="H645" s="4" t="s">
        <v>5</v>
      </c>
      <c r="I645" s="37">
        <f>SUM(I646:I646)</f>
        <v>0</v>
      </c>
      <c r="J645" s="37">
        <f>SUM(J646:J646)</f>
        <v>0</v>
      </c>
      <c r="K645" s="37">
        <f>SUM(K646:K646)</f>
        <v>0</v>
      </c>
      <c r="L645" s="28"/>
      <c r="AI645" s="28" t="s">
        <v>1021</v>
      </c>
      <c r="AS645" s="37">
        <f>SUM(AJ646:AJ646)</f>
        <v>0</v>
      </c>
      <c r="AT645" s="37">
        <f>SUM(AK646:AK646)</f>
        <v>0</v>
      </c>
      <c r="AU645" s="37">
        <f>SUM(AL646:AL646)</f>
        <v>0</v>
      </c>
    </row>
    <row r="646" spans="1:62" ht="12.75">
      <c r="A646" s="5" t="s">
        <v>259</v>
      </c>
      <c r="B646" s="5" t="s">
        <v>416</v>
      </c>
      <c r="C646" s="99" t="s">
        <v>720</v>
      </c>
      <c r="D646" s="100"/>
      <c r="E646" s="100"/>
      <c r="F646" s="5" t="s">
        <v>986</v>
      </c>
      <c r="G646" s="63">
        <v>70.4</v>
      </c>
      <c r="H646" s="18">
        <v>0</v>
      </c>
      <c r="I646" s="18">
        <f>G646*AO646</f>
        <v>0</v>
      </c>
      <c r="J646" s="18">
        <f>G646*AP646</f>
        <v>0</v>
      </c>
      <c r="K646" s="18">
        <f>G646*H646</f>
        <v>0</v>
      </c>
      <c r="L646" s="29"/>
      <c r="Z646" s="34">
        <f>IF(AQ646="5",BJ646,0)</f>
        <v>0</v>
      </c>
      <c r="AB646" s="34">
        <f>IF(AQ646="1",BH646,0)</f>
        <v>0</v>
      </c>
      <c r="AC646" s="34">
        <f>IF(AQ646="1",BI646,0)</f>
        <v>0</v>
      </c>
      <c r="AD646" s="34">
        <f>IF(AQ646="7",BH646,0)</f>
        <v>0</v>
      </c>
      <c r="AE646" s="34">
        <f>IF(AQ646="7",BI646,0)</f>
        <v>0</v>
      </c>
      <c r="AF646" s="34">
        <f>IF(AQ646="2",BH646,0)</f>
        <v>0</v>
      </c>
      <c r="AG646" s="34">
        <f>IF(AQ646="2",BI646,0)</f>
        <v>0</v>
      </c>
      <c r="AH646" s="34">
        <f>IF(AQ646="0",BJ646,0)</f>
        <v>0</v>
      </c>
      <c r="AI646" s="28" t="s">
        <v>1021</v>
      </c>
      <c r="AJ646" s="18">
        <f>IF(AN646=0,K646,0)</f>
        <v>0</v>
      </c>
      <c r="AK646" s="18">
        <f>IF(AN646=15,K646,0)</f>
        <v>0</v>
      </c>
      <c r="AL646" s="18">
        <f>IF(AN646=21,K646,0)</f>
        <v>0</v>
      </c>
      <c r="AN646" s="34">
        <v>21</v>
      </c>
      <c r="AO646" s="34">
        <f>H646*0.672472222222222</f>
        <v>0</v>
      </c>
      <c r="AP646" s="34">
        <f>H646*(1-0.672472222222222)</f>
        <v>0</v>
      </c>
      <c r="AQ646" s="29" t="s">
        <v>6</v>
      </c>
      <c r="AV646" s="34">
        <f>AW646+AX646</f>
        <v>0</v>
      </c>
      <c r="AW646" s="34">
        <f>G646*AO646</f>
        <v>0</v>
      </c>
      <c r="AX646" s="34">
        <f>G646*AP646</f>
        <v>0</v>
      </c>
      <c r="AY646" s="35" t="s">
        <v>1044</v>
      </c>
      <c r="AZ646" s="35" t="s">
        <v>1081</v>
      </c>
      <c r="BA646" s="28" t="s">
        <v>1086</v>
      </c>
      <c r="BC646" s="34">
        <f>AW646+AX646</f>
        <v>0</v>
      </c>
      <c r="BD646" s="34">
        <f>H646/(100-BE646)*100</f>
        <v>0</v>
      </c>
      <c r="BE646" s="34">
        <v>0</v>
      </c>
      <c r="BF646" s="34">
        <f>646</f>
        <v>646</v>
      </c>
      <c r="BH646" s="18">
        <f>G646*AO646</f>
        <v>0</v>
      </c>
      <c r="BI646" s="18">
        <f>G646*AP646</f>
        <v>0</v>
      </c>
      <c r="BJ646" s="18">
        <f>G646*H646</f>
        <v>0</v>
      </c>
    </row>
    <row r="647" spans="3:7" ht="12.75">
      <c r="C647" s="101" t="s">
        <v>920</v>
      </c>
      <c r="D647" s="102"/>
      <c r="E647" s="102"/>
      <c r="G647" s="64">
        <v>21.4</v>
      </c>
    </row>
    <row r="648" spans="3:7" ht="12.75">
      <c r="C648" s="101" t="s">
        <v>921</v>
      </c>
      <c r="D648" s="102"/>
      <c r="E648" s="102"/>
      <c r="G648" s="64">
        <v>49</v>
      </c>
    </row>
    <row r="649" spans="1:47" ht="12.75">
      <c r="A649" s="4"/>
      <c r="B649" s="14" t="s">
        <v>99</v>
      </c>
      <c r="C649" s="97" t="s">
        <v>722</v>
      </c>
      <c r="D649" s="98"/>
      <c r="E649" s="98"/>
      <c r="F649" s="4" t="s">
        <v>5</v>
      </c>
      <c r="G649" s="4" t="s">
        <v>5</v>
      </c>
      <c r="H649" s="4" t="s">
        <v>5</v>
      </c>
      <c r="I649" s="37">
        <f>SUM(I650:I668)</f>
        <v>0</v>
      </c>
      <c r="J649" s="37">
        <f>SUM(J650:J668)</f>
        <v>0</v>
      </c>
      <c r="K649" s="37">
        <f>SUM(K650:K668)</f>
        <v>0</v>
      </c>
      <c r="L649" s="28"/>
      <c r="AI649" s="28" t="s">
        <v>1021</v>
      </c>
      <c r="AS649" s="37">
        <f>SUM(AJ650:AJ668)</f>
        <v>0</v>
      </c>
      <c r="AT649" s="37">
        <f>SUM(AK650:AK668)</f>
        <v>0</v>
      </c>
      <c r="AU649" s="37">
        <f>SUM(AL650:AL668)</f>
        <v>0</v>
      </c>
    </row>
    <row r="650" spans="1:62" ht="12.75">
      <c r="A650" s="5" t="s">
        <v>260</v>
      </c>
      <c r="B650" s="5" t="s">
        <v>417</v>
      </c>
      <c r="C650" s="99" t="s">
        <v>723</v>
      </c>
      <c r="D650" s="100"/>
      <c r="E650" s="100"/>
      <c r="F650" s="5" t="s">
        <v>984</v>
      </c>
      <c r="G650" s="63">
        <v>358.9</v>
      </c>
      <c r="H650" s="18">
        <v>0</v>
      </c>
      <c r="I650" s="18">
        <f>G650*AO650</f>
        <v>0</v>
      </c>
      <c r="J650" s="18">
        <f>G650*AP650</f>
        <v>0</v>
      </c>
      <c r="K650" s="18">
        <f>G650*H650</f>
        <v>0</v>
      </c>
      <c r="L650" s="29"/>
      <c r="Z650" s="34">
        <f>IF(AQ650="5",BJ650,0)</f>
        <v>0</v>
      </c>
      <c r="AB650" s="34">
        <f>IF(AQ650="1",BH650,0)</f>
        <v>0</v>
      </c>
      <c r="AC650" s="34">
        <f>IF(AQ650="1",BI650,0)</f>
        <v>0</v>
      </c>
      <c r="AD650" s="34">
        <f>IF(AQ650="7",BH650,0)</f>
        <v>0</v>
      </c>
      <c r="AE650" s="34">
        <f>IF(AQ650="7",BI650,0)</f>
        <v>0</v>
      </c>
      <c r="AF650" s="34">
        <f>IF(AQ650="2",BH650,0)</f>
        <v>0</v>
      </c>
      <c r="AG650" s="34">
        <f>IF(AQ650="2",BI650,0)</f>
        <v>0</v>
      </c>
      <c r="AH650" s="34">
        <f>IF(AQ650="0",BJ650,0)</f>
        <v>0</v>
      </c>
      <c r="AI650" s="28" t="s">
        <v>1021</v>
      </c>
      <c r="AJ650" s="18">
        <f>IF(AN650=0,K650,0)</f>
        <v>0</v>
      </c>
      <c r="AK650" s="18">
        <f>IF(AN650=15,K650,0)</f>
        <v>0</v>
      </c>
      <c r="AL650" s="18">
        <f>IF(AN650=21,K650,0)</f>
        <v>0</v>
      </c>
      <c r="AN650" s="34">
        <v>21</v>
      </c>
      <c r="AO650" s="34">
        <f>H650*0.000511945392491468</f>
        <v>0</v>
      </c>
      <c r="AP650" s="34">
        <f>H650*(1-0.000511945392491468)</f>
        <v>0</v>
      </c>
      <c r="AQ650" s="29" t="s">
        <v>6</v>
      </c>
      <c r="AV650" s="34">
        <f>AW650+AX650</f>
        <v>0</v>
      </c>
      <c r="AW650" s="34">
        <f>G650*AO650</f>
        <v>0</v>
      </c>
      <c r="AX650" s="34">
        <f>G650*AP650</f>
        <v>0</v>
      </c>
      <c r="AY650" s="35" t="s">
        <v>1045</v>
      </c>
      <c r="AZ650" s="35" t="s">
        <v>1081</v>
      </c>
      <c r="BA650" s="28" t="s">
        <v>1086</v>
      </c>
      <c r="BC650" s="34">
        <f>AW650+AX650</f>
        <v>0</v>
      </c>
      <c r="BD650" s="34">
        <f>H650/(100-BE650)*100</f>
        <v>0</v>
      </c>
      <c r="BE650" s="34">
        <v>0</v>
      </c>
      <c r="BF650" s="34">
        <f>650</f>
        <v>650</v>
      </c>
      <c r="BH650" s="18">
        <f>G650*AO650</f>
        <v>0</v>
      </c>
      <c r="BI650" s="18">
        <f>G650*AP650</f>
        <v>0</v>
      </c>
      <c r="BJ650" s="18">
        <f>G650*H650</f>
        <v>0</v>
      </c>
    </row>
    <row r="651" spans="3:7" ht="12.75">
      <c r="C651" s="101" t="s">
        <v>922</v>
      </c>
      <c r="D651" s="102"/>
      <c r="E651" s="102"/>
      <c r="G651" s="64">
        <v>358.9</v>
      </c>
    </row>
    <row r="652" spans="1:62" ht="12.75">
      <c r="A652" s="5" t="s">
        <v>261</v>
      </c>
      <c r="B652" s="5" t="s">
        <v>418</v>
      </c>
      <c r="C652" s="99" t="s">
        <v>725</v>
      </c>
      <c r="D652" s="100"/>
      <c r="E652" s="100"/>
      <c r="F652" s="5" t="s">
        <v>984</v>
      </c>
      <c r="G652" s="63">
        <v>717.8</v>
      </c>
      <c r="H652" s="18">
        <v>0</v>
      </c>
      <c r="I652" s="18">
        <f>G652*AO652</f>
        <v>0</v>
      </c>
      <c r="J652" s="18">
        <f>G652*AP652</f>
        <v>0</v>
      </c>
      <c r="K652" s="18">
        <f>G652*H652</f>
        <v>0</v>
      </c>
      <c r="L652" s="29"/>
      <c r="Z652" s="34">
        <f>IF(AQ652="5",BJ652,0)</f>
        <v>0</v>
      </c>
      <c r="AB652" s="34">
        <f>IF(AQ652="1",BH652,0)</f>
        <v>0</v>
      </c>
      <c r="AC652" s="34">
        <f>IF(AQ652="1",BI652,0)</f>
        <v>0</v>
      </c>
      <c r="AD652" s="34">
        <f>IF(AQ652="7",BH652,0)</f>
        <v>0</v>
      </c>
      <c r="AE652" s="34">
        <f>IF(AQ652="7",BI652,0)</f>
        <v>0</v>
      </c>
      <c r="AF652" s="34">
        <f>IF(AQ652="2",BH652,0)</f>
        <v>0</v>
      </c>
      <c r="AG652" s="34">
        <f>IF(AQ652="2",BI652,0)</f>
        <v>0</v>
      </c>
      <c r="AH652" s="34">
        <f>IF(AQ652="0",BJ652,0)</f>
        <v>0</v>
      </c>
      <c r="AI652" s="28" t="s">
        <v>1021</v>
      </c>
      <c r="AJ652" s="18">
        <f>IF(AN652=0,K652,0)</f>
        <v>0</v>
      </c>
      <c r="AK652" s="18">
        <f>IF(AN652=15,K652,0)</f>
        <v>0</v>
      </c>
      <c r="AL652" s="18">
        <f>IF(AN652=21,K652,0)</f>
        <v>0</v>
      </c>
      <c r="AN652" s="34">
        <v>21</v>
      </c>
      <c r="AO652" s="34">
        <f>H652*0.917886377811533</f>
        <v>0</v>
      </c>
      <c r="AP652" s="34">
        <f>H652*(1-0.917886377811533)</f>
        <v>0</v>
      </c>
      <c r="AQ652" s="29" t="s">
        <v>6</v>
      </c>
      <c r="AV652" s="34">
        <f>AW652+AX652</f>
        <v>0</v>
      </c>
      <c r="AW652" s="34">
        <f>G652*AO652</f>
        <v>0</v>
      </c>
      <c r="AX652" s="34">
        <f>G652*AP652</f>
        <v>0</v>
      </c>
      <c r="AY652" s="35" t="s">
        <v>1045</v>
      </c>
      <c r="AZ652" s="35" t="s">
        <v>1081</v>
      </c>
      <c r="BA652" s="28" t="s">
        <v>1086</v>
      </c>
      <c r="BC652" s="34">
        <f>AW652+AX652</f>
        <v>0</v>
      </c>
      <c r="BD652" s="34">
        <f>H652/(100-BE652)*100</f>
        <v>0</v>
      </c>
      <c r="BE652" s="34">
        <v>0</v>
      </c>
      <c r="BF652" s="34">
        <f>652</f>
        <v>652</v>
      </c>
      <c r="BH652" s="18">
        <f>G652*AO652</f>
        <v>0</v>
      </c>
      <c r="BI652" s="18">
        <f>G652*AP652</f>
        <v>0</v>
      </c>
      <c r="BJ652" s="18">
        <f>G652*H652</f>
        <v>0</v>
      </c>
    </row>
    <row r="653" spans="3:7" ht="12.75">
      <c r="C653" s="101" t="s">
        <v>923</v>
      </c>
      <c r="D653" s="102"/>
      <c r="E653" s="102"/>
      <c r="G653" s="64">
        <v>717.8</v>
      </c>
    </row>
    <row r="654" spans="1:62" ht="12.75">
      <c r="A654" s="5" t="s">
        <v>262</v>
      </c>
      <c r="B654" s="5" t="s">
        <v>420</v>
      </c>
      <c r="C654" s="99" t="s">
        <v>729</v>
      </c>
      <c r="D654" s="100"/>
      <c r="E654" s="100"/>
      <c r="F654" s="5" t="s">
        <v>984</v>
      </c>
      <c r="G654" s="63">
        <v>358.9</v>
      </c>
      <c r="H654" s="18">
        <v>0</v>
      </c>
      <c r="I654" s="18">
        <f>G654*AO654</f>
        <v>0</v>
      </c>
      <c r="J654" s="18">
        <f>G654*AP654</f>
        <v>0</v>
      </c>
      <c r="K654" s="18">
        <f>G654*H654</f>
        <v>0</v>
      </c>
      <c r="L654" s="29"/>
      <c r="Z654" s="34">
        <f>IF(AQ654="5",BJ654,0)</f>
        <v>0</v>
      </c>
      <c r="AB654" s="34">
        <f>IF(AQ654="1",BH654,0)</f>
        <v>0</v>
      </c>
      <c r="AC654" s="34">
        <f>IF(AQ654="1",BI654,0)</f>
        <v>0</v>
      </c>
      <c r="AD654" s="34">
        <f>IF(AQ654="7",BH654,0)</f>
        <v>0</v>
      </c>
      <c r="AE654" s="34">
        <f>IF(AQ654="7",BI654,0)</f>
        <v>0</v>
      </c>
      <c r="AF654" s="34">
        <f>IF(AQ654="2",BH654,0)</f>
        <v>0</v>
      </c>
      <c r="AG654" s="34">
        <f>IF(AQ654="2",BI654,0)</f>
        <v>0</v>
      </c>
      <c r="AH654" s="34">
        <f>IF(AQ654="0",BJ654,0)</f>
        <v>0</v>
      </c>
      <c r="AI654" s="28" t="s">
        <v>1021</v>
      </c>
      <c r="AJ654" s="18">
        <f>IF(AN654=0,K654,0)</f>
        <v>0</v>
      </c>
      <c r="AK654" s="18">
        <f>IF(AN654=15,K654,0)</f>
        <v>0</v>
      </c>
      <c r="AL654" s="18">
        <f>IF(AN654=21,K654,0)</f>
        <v>0</v>
      </c>
      <c r="AN654" s="34">
        <v>21</v>
      </c>
      <c r="AO654" s="34">
        <f>H654*0</f>
        <v>0</v>
      </c>
      <c r="AP654" s="34">
        <f>H654*(1-0)</f>
        <v>0</v>
      </c>
      <c r="AQ654" s="29" t="s">
        <v>6</v>
      </c>
      <c r="AV654" s="34">
        <f>AW654+AX654</f>
        <v>0</v>
      </c>
      <c r="AW654" s="34">
        <f>G654*AO654</f>
        <v>0</v>
      </c>
      <c r="AX654" s="34">
        <f>G654*AP654</f>
        <v>0</v>
      </c>
      <c r="AY654" s="35" t="s">
        <v>1045</v>
      </c>
      <c r="AZ654" s="35" t="s">
        <v>1081</v>
      </c>
      <c r="BA654" s="28" t="s">
        <v>1086</v>
      </c>
      <c r="BC654" s="34">
        <f>AW654+AX654</f>
        <v>0</v>
      </c>
      <c r="BD654" s="34">
        <f>H654/(100-BE654)*100</f>
        <v>0</v>
      </c>
      <c r="BE654" s="34">
        <v>0</v>
      </c>
      <c r="BF654" s="34">
        <f>654</f>
        <v>654</v>
      </c>
      <c r="BH654" s="18">
        <f>G654*AO654</f>
        <v>0</v>
      </c>
      <c r="BI654" s="18">
        <f>G654*AP654</f>
        <v>0</v>
      </c>
      <c r="BJ654" s="18">
        <f>G654*H654</f>
        <v>0</v>
      </c>
    </row>
    <row r="655" spans="3:7" ht="12.75">
      <c r="C655" s="101" t="s">
        <v>924</v>
      </c>
      <c r="D655" s="102"/>
      <c r="E655" s="102"/>
      <c r="G655" s="64">
        <v>358.9</v>
      </c>
    </row>
    <row r="656" spans="1:62" ht="12.75">
      <c r="A656" s="5" t="s">
        <v>263</v>
      </c>
      <c r="B656" s="5" t="s">
        <v>419</v>
      </c>
      <c r="C656" s="99" t="s">
        <v>727</v>
      </c>
      <c r="D656" s="100"/>
      <c r="E656" s="100"/>
      <c r="F656" s="5" t="s">
        <v>990</v>
      </c>
      <c r="G656" s="63">
        <v>19325</v>
      </c>
      <c r="H656" s="18">
        <v>0</v>
      </c>
      <c r="I656" s="18">
        <f>G656*AO656</f>
        <v>0</v>
      </c>
      <c r="J656" s="18">
        <f>G656*AP656</f>
        <v>0</v>
      </c>
      <c r="K656" s="18">
        <f>G656*H656</f>
        <v>0</v>
      </c>
      <c r="L656" s="29"/>
      <c r="Z656" s="34">
        <f>IF(AQ656="5",BJ656,0)</f>
        <v>0</v>
      </c>
      <c r="AB656" s="34">
        <f>IF(AQ656="1",BH656,0)</f>
        <v>0</v>
      </c>
      <c r="AC656" s="34">
        <f>IF(AQ656="1",BI656,0)</f>
        <v>0</v>
      </c>
      <c r="AD656" s="34">
        <f>IF(AQ656="7",BH656,0)</f>
        <v>0</v>
      </c>
      <c r="AE656" s="34">
        <f>IF(AQ656="7",BI656,0)</f>
        <v>0</v>
      </c>
      <c r="AF656" s="34">
        <f>IF(AQ656="2",BH656,0)</f>
        <v>0</v>
      </c>
      <c r="AG656" s="34">
        <f>IF(AQ656="2",BI656,0)</f>
        <v>0</v>
      </c>
      <c r="AH656" s="34">
        <f>IF(AQ656="0",BJ656,0)</f>
        <v>0</v>
      </c>
      <c r="AI656" s="28" t="s">
        <v>1021</v>
      </c>
      <c r="AJ656" s="18">
        <f>IF(AN656=0,K656,0)</f>
        <v>0</v>
      </c>
      <c r="AK656" s="18">
        <f>IF(AN656=15,K656,0)</f>
        <v>0</v>
      </c>
      <c r="AL656" s="18">
        <f>IF(AN656=21,K656,0)</f>
        <v>0</v>
      </c>
      <c r="AN656" s="34">
        <v>21</v>
      </c>
      <c r="AO656" s="34">
        <f>H656*0</f>
        <v>0</v>
      </c>
      <c r="AP656" s="34">
        <f>H656*(1-0)</f>
        <v>0</v>
      </c>
      <c r="AQ656" s="29" t="s">
        <v>6</v>
      </c>
      <c r="AV656" s="34">
        <f>AW656+AX656</f>
        <v>0</v>
      </c>
      <c r="AW656" s="34">
        <f>G656*AO656</f>
        <v>0</v>
      </c>
      <c r="AX656" s="34">
        <f>G656*AP656</f>
        <v>0</v>
      </c>
      <c r="AY656" s="35" t="s">
        <v>1045</v>
      </c>
      <c r="AZ656" s="35" t="s">
        <v>1081</v>
      </c>
      <c r="BA656" s="28" t="s">
        <v>1086</v>
      </c>
      <c r="BC656" s="34">
        <f>AW656+AX656</f>
        <v>0</v>
      </c>
      <c r="BD656" s="34">
        <f>H656/(100-BE656)*100</f>
        <v>0</v>
      </c>
      <c r="BE656" s="34">
        <v>0</v>
      </c>
      <c r="BF656" s="34">
        <f>656</f>
        <v>656</v>
      </c>
      <c r="BH656" s="18">
        <f>G656*AO656</f>
        <v>0</v>
      </c>
      <c r="BI656" s="18">
        <f>G656*AP656</f>
        <v>0</v>
      </c>
      <c r="BJ656" s="18">
        <f>G656*H656</f>
        <v>0</v>
      </c>
    </row>
    <row r="657" spans="3:7" ht="12.75">
      <c r="C657" s="101" t="s">
        <v>925</v>
      </c>
      <c r="D657" s="102"/>
      <c r="E657" s="102"/>
      <c r="G657" s="64">
        <v>19325</v>
      </c>
    </row>
    <row r="658" spans="1:62" ht="12.75">
      <c r="A658" s="5" t="s">
        <v>264</v>
      </c>
      <c r="B658" s="5" t="s">
        <v>421</v>
      </c>
      <c r="C658" s="99" t="s">
        <v>731</v>
      </c>
      <c r="D658" s="100"/>
      <c r="E658" s="100"/>
      <c r="F658" s="5" t="s">
        <v>984</v>
      </c>
      <c r="G658" s="63">
        <v>386.5</v>
      </c>
      <c r="H658" s="18">
        <v>0</v>
      </c>
      <c r="I658" s="18">
        <f>G658*AO658</f>
        <v>0</v>
      </c>
      <c r="J658" s="18">
        <f>G658*AP658</f>
        <v>0</v>
      </c>
      <c r="K658" s="18">
        <f>G658*H658</f>
        <v>0</v>
      </c>
      <c r="L658" s="29"/>
      <c r="Z658" s="34">
        <f>IF(AQ658="5",BJ658,0)</f>
        <v>0</v>
      </c>
      <c r="AB658" s="34">
        <f>IF(AQ658="1",BH658,0)</f>
        <v>0</v>
      </c>
      <c r="AC658" s="34">
        <f>IF(AQ658="1",BI658,0)</f>
        <v>0</v>
      </c>
      <c r="AD658" s="34">
        <f>IF(AQ658="7",BH658,0)</f>
        <v>0</v>
      </c>
      <c r="AE658" s="34">
        <f>IF(AQ658="7",BI658,0)</f>
        <v>0</v>
      </c>
      <c r="AF658" s="34">
        <f>IF(AQ658="2",BH658,0)</f>
        <v>0</v>
      </c>
      <c r="AG658" s="34">
        <f>IF(AQ658="2",BI658,0)</f>
        <v>0</v>
      </c>
      <c r="AH658" s="34">
        <f>IF(AQ658="0",BJ658,0)</f>
        <v>0</v>
      </c>
      <c r="AI658" s="28" t="s">
        <v>1021</v>
      </c>
      <c r="AJ658" s="18">
        <f>IF(AN658=0,K658,0)</f>
        <v>0</v>
      </c>
      <c r="AK658" s="18">
        <f>IF(AN658=15,K658,0)</f>
        <v>0</v>
      </c>
      <c r="AL658" s="18">
        <f>IF(AN658=21,K658,0)</f>
        <v>0</v>
      </c>
      <c r="AN658" s="34">
        <v>21</v>
      </c>
      <c r="AO658" s="34">
        <f>H658*0</f>
        <v>0</v>
      </c>
      <c r="AP658" s="34">
        <f>H658*(1-0)</f>
        <v>0</v>
      </c>
      <c r="AQ658" s="29" t="s">
        <v>6</v>
      </c>
      <c r="AV658" s="34">
        <f>AW658+AX658</f>
        <v>0</v>
      </c>
      <c r="AW658" s="34">
        <f>G658*AO658</f>
        <v>0</v>
      </c>
      <c r="AX658" s="34">
        <f>G658*AP658</f>
        <v>0</v>
      </c>
      <c r="AY658" s="35" t="s">
        <v>1045</v>
      </c>
      <c r="AZ658" s="35" t="s">
        <v>1081</v>
      </c>
      <c r="BA658" s="28" t="s">
        <v>1086</v>
      </c>
      <c r="BC658" s="34">
        <f>AW658+AX658</f>
        <v>0</v>
      </c>
      <c r="BD658" s="34">
        <f>H658/(100-BE658)*100</f>
        <v>0</v>
      </c>
      <c r="BE658" s="34">
        <v>0</v>
      </c>
      <c r="BF658" s="34">
        <f>658</f>
        <v>658</v>
      </c>
      <c r="BH658" s="18">
        <f>G658*AO658</f>
        <v>0</v>
      </c>
      <c r="BI658" s="18">
        <f>G658*AP658</f>
        <v>0</v>
      </c>
      <c r="BJ658" s="18">
        <f>G658*H658</f>
        <v>0</v>
      </c>
    </row>
    <row r="659" spans="3:7" ht="12.75">
      <c r="C659" s="101" t="s">
        <v>926</v>
      </c>
      <c r="D659" s="102"/>
      <c r="E659" s="102"/>
      <c r="G659" s="64">
        <v>386.5</v>
      </c>
    </row>
    <row r="660" spans="1:62" ht="12.75">
      <c r="A660" s="5" t="s">
        <v>265</v>
      </c>
      <c r="B660" s="5" t="s">
        <v>422</v>
      </c>
      <c r="C660" s="99" t="s">
        <v>732</v>
      </c>
      <c r="D660" s="100"/>
      <c r="E660" s="100"/>
      <c r="F660" s="5" t="s">
        <v>984</v>
      </c>
      <c r="G660" s="63">
        <v>773</v>
      </c>
      <c r="H660" s="18">
        <v>0</v>
      </c>
      <c r="I660" s="18">
        <f>G660*AO660</f>
        <v>0</v>
      </c>
      <c r="J660" s="18">
        <f>G660*AP660</f>
        <v>0</v>
      </c>
      <c r="K660" s="18">
        <f>G660*H660</f>
        <v>0</v>
      </c>
      <c r="L660" s="29"/>
      <c r="Z660" s="34">
        <f>IF(AQ660="5",BJ660,0)</f>
        <v>0</v>
      </c>
      <c r="AB660" s="34">
        <f>IF(AQ660="1",BH660,0)</f>
        <v>0</v>
      </c>
      <c r="AC660" s="34">
        <f>IF(AQ660="1",BI660,0)</f>
        <v>0</v>
      </c>
      <c r="AD660" s="34">
        <f>IF(AQ660="7",BH660,0)</f>
        <v>0</v>
      </c>
      <c r="AE660" s="34">
        <f>IF(AQ660="7",BI660,0)</f>
        <v>0</v>
      </c>
      <c r="AF660" s="34">
        <f>IF(AQ660="2",BH660,0)</f>
        <v>0</v>
      </c>
      <c r="AG660" s="34">
        <f>IF(AQ660="2",BI660,0)</f>
        <v>0</v>
      </c>
      <c r="AH660" s="34">
        <f>IF(AQ660="0",BJ660,0)</f>
        <v>0</v>
      </c>
      <c r="AI660" s="28" t="s">
        <v>1021</v>
      </c>
      <c r="AJ660" s="18">
        <f>IF(AN660=0,K660,0)</f>
        <v>0</v>
      </c>
      <c r="AK660" s="18">
        <f>IF(AN660=15,K660,0)</f>
        <v>0</v>
      </c>
      <c r="AL660" s="18">
        <f>IF(AN660=21,K660,0)</f>
        <v>0</v>
      </c>
      <c r="AN660" s="34">
        <v>21</v>
      </c>
      <c r="AO660" s="34">
        <f>H660*1</f>
        <v>0</v>
      </c>
      <c r="AP660" s="34">
        <f>H660*(1-1)</f>
        <v>0</v>
      </c>
      <c r="AQ660" s="29" t="s">
        <v>6</v>
      </c>
      <c r="AV660" s="34">
        <f>AW660+AX660</f>
        <v>0</v>
      </c>
      <c r="AW660" s="34">
        <f>G660*AO660</f>
        <v>0</v>
      </c>
      <c r="AX660" s="34">
        <f>G660*AP660</f>
        <v>0</v>
      </c>
      <c r="AY660" s="35" t="s">
        <v>1045</v>
      </c>
      <c r="AZ660" s="35" t="s">
        <v>1081</v>
      </c>
      <c r="BA660" s="28" t="s">
        <v>1086</v>
      </c>
      <c r="BC660" s="34">
        <f>AW660+AX660</f>
        <v>0</v>
      </c>
      <c r="BD660" s="34">
        <f>H660/(100-BE660)*100</f>
        <v>0</v>
      </c>
      <c r="BE660" s="34">
        <v>0</v>
      </c>
      <c r="BF660" s="34">
        <f>660</f>
        <v>660</v>
      </c>
      <c r="BH660" s="18">
        <f>G660*AO660</f>
        <v>0</v>
      </c>
      <c r="BI660" s="18">
        <f>G660*AP660</f>
        <v>0</v>
      </c>
      <c r="BJ660" s="18">
        <f>G660*H660</f>
        <v>0</v>
      </c>
    </row>
    <row r="661" spans="3:7" ht="12.75">
      <c r="C661" s="101" t="s">
        <v>927</v>
      </c>
      <c r="D661" s="102"/>
      <c r="E661" s="102"/>
      <c r="G661" s="64">
        <v>773</v>
      </c>
    </row>
    <row r="662" spans="1:62" ht="12.75">
      <c r="A662" s="5" t="s">
        <v>266</v>
      </c>
      <c r="B662" s="5" t="s">
        <v>423</v>
      </c>
      <c r="C662" s="99" t="s">
        <v>733</v>
      </c>
      <c r="D662" s="100"/>
      <c r="E662" s="100"/>
      <c r="F662" s="5" t="s">
        <v>984</v>
      </c>
      <c r="G662" s="63">
        <v>386.5</v>
      </c>
      <c r="H662" s="18">
        <v>0</v>
      </c>
      <c r="I662" s="18">
        <f>G662*AO662</f>
        <v>0</v>
      </c>
      <c r="J662" s="18">
        <f>G662*AP662</f>
        <v>0</v>
      </c>
      <c r="K662" s="18">
        <f>G662*H662</f>
        <v>0</v>
      </c>
      <c r="L662" s="29"/>
      <c r="Z662" s="34">
        <f>IF(AQ662="5",BJ662,0)</f>
        <v>0</v>
      </c>
      <c r="AB662" s="34">
        <f>IF(AQ662="1",BH662,0)</f>
        <v>0</v>
      </c>
      <c r="AC662" s="34">
        <f>IF(AQ662="1",BI662,0)</f>
        <v>0</v>
      </c>
      <c r="AD662" s="34">
        <f>IF(AQ662="7",BH662,0)</f>
        <v>0</v>
      </c>
      <c r="AE662" s="34">
        <f>IF(AQ662="7",BI662,0)</f>
        <v>0</v>
      </c>
      <c r="AF662" s="34">
        <f>IF(AQ662="2",BH662,0)</f>
        <v>0</v>
      </c>
      <c r="AG662" s="34">
        <f>IF(AQ662="2",BI662,0)</f>
        <v>0</v>
      </c>
      <c r="AH662" s="34">
        <f>IF(AQ662="0",BJ662,0)</f>
        <v>0</v>
      </c>
      <c r="AI662" s="28" t="s">
        <v>1021</v>
      </c>
      <c r="AJ662" s="18">
        <f>IF(AN662=0,K662,0)</f>
        <v>0</v>
      </c>
      <c r="AK662" s="18">
        <f>IF(AN662=15,K662,0)</f>
        <v>0</v>
      </c>
      <c r="AL662" s="18">
        <f>IF(AN662=21,K662,0)</f>
        <v>0</v>
      </c>
      <c r="AN662" s="34">
        <v>21</v>
      </c>
      <c r="AO662" s="34">
        <f>H662*0</f>
        <v>0</v>
      </c>
      <c r="AP662" s="34">
        <f>H662*(1-0)</f>
        <v>0</v>
      </c>
      <c r="AQ662" s="29" t="s">
        <v>6</v>
      </c>
      <c r="AV662" s="34">
        <f>AW662+AX662</f>
        <v>0</v>
      </c>
      <c r="AW662" s="34">
        <f>G662*AO662</f>
        <v>0</v>
      </c>
      <c r="AX662" s="34">
        <f>G662*AP662</f>
        <v>0</v>
      </c>
      <c r="AY662" s="35" t="s">
        <v>1045</v>
      </c>
      <c r="AZ662" s="35" t="s">
        <v>1081</v>
      </c>
      <c r="BA662" s="28" t="s">
        <v>1086</v>
      </c>
      <c r="BC662" s="34">
        <f>AW662+AX662</f>
        <v>0</v>
      </c>
      <c r="BD662" s="34">
        <f>H662/(100-BE662)*100</f>
        <v>0</v>
      </c>
      <c r="BE662" s="34">
        <v>0</v>
      </c>
      <c r="BF662" s="34">
        <f>662</f>
        <v>662</v>
      </c>
      <c r="BH662" s="18">
        <f>G662*AO662</f>
        <v>0</v>
      </c>
      <c r="BI662" s="18">
        <f>G662*AP662</f>
        <v>0</v>
      </c>
      <c r="BJ662" s="18">
        <f>G662*H662</f>
        <v>0</v>
      </c>
    </row>
    <row r="663" spans="3:7" ht="12.75">
      <c r="C663" s="101" t="s">
        <v>928</v>
      </c>
      <c r="D663" s="102"/>
      <c r="E663" s="102"/>
      <c r="G663" s="64">
        <v>386.5</v>
      </c>
    </row>
    <row r="664" spans="1:62" ht="12.75">
      <c r="A664" s="5" t="s">
        <v>267</v>
      </c>
      <c r="B664" s="5" t="s">
        <v>501</v>
      </c>
      <c r="C664" s="99" t="s">
        <v>929</v>
      </c>
      <c r="D664" s="100"/>
      <c r="E664" s="100"/>
      <c r="F664" s="5" t="s">
        <v>984</v>
      </c>
      <c r="G664" s="63">
        <v>27.6</v>
      </c>
      <c r="H664" s="18">
        <v>0</v>
      </c>
      <c r="I664" s="18">
        <f>G664*AO664</f>
        <v>0</v>
      </c>
      <c r="J664" s="18">
        <f>G664*AP664</f>
        <v>0</v>
      </c>
      <c r="K664" s="18">
        <f>G664*H664</f>
        <v>0</v>
      </c>
      <c r="L664" s="29"/>
      <c r="Z664" s="34">
        <f>IF(AQ664="5",BJ664,0)</f>
        <v>0</v>
      </c>
      <c r="AB664" s="34">
        <f>IF(AQ664="1",BH664,0)</f>
        <v>0</v>
      </c>
      <c r="AC664" s="34">
        <f>IF(AQ664="1",BI664,0)</f>
        <v>0</v>
      </c>
      <c r="AD664" s="34">
        <f>IF(AQ664="7",BH664,0)</f>
        <v>0</v>
      </c>
      <c r="AE664" s="34">
        <f>IF(AQ664="7",BI664,0)</f>
        <v>0</v>
      </c>
      <c r="AF664" s="34">
        <f>IF(AQ664="2",BH664,0)</f>
        <v>0</v>
      </c>
      <c r="AG664" s="34">
        <f>IF(AQ664="2",BI664,0)</f>
        <v>0</v>
      </c>
      <c r="AH664" s="34">
        <f>IF(AQ664="0",BJ664,0)</f>
        <v>0</v>
      </c>
      <c r="AI664" s="28" t="s">
        <v>1021</v>
      </c>
      <c r="AJ664" s="18">
        <f>IF(AN664=0,K664,0)</f>
        <v>0</v>
      </c>
      <c r="AK664" s="18">
        <f>IF(AN664=15,K664,0)</f>
        <v>0</v>
      </c>
      <c r="AL664" s="18">
        <f>IF(AN664=21,K664,0)</f>
        <v>0</v>
      </c>
      <c r="AN664" s="34">
        <v>21</v>
      </c>
      <c r="AO664" s="34">
        <f>H664*0</f>
        <v>0</v>
      </c>
      <c r="AP664" s="34">
        <f>H664*(1-0)</f>
        <v>0</v>
      </c>
      <c r="AQ664" s="29" t="s">
        <v>6</v>
      </c>
      <c r="AV664" s="34">
        <f>AW664+AX664</f>
        <v>0</v>
      </c>
      <c r="AW664" s="34">
        <f>G664*AO664</f>
        <v>0</v>
      </c>
      <c r="AX664" s="34">
        <f>G664*AP664</f>
        <v>0</v>
      </c>
      <c r="AY664" s="35" t="s">
        <v>1045</v>
      </c>
      <c r="AZ664" s="35" t="s">
        <v>1081</v>
      </c>
      <c r="BA664" s="28" t="s">
        <v>1086</v>
      </c>
      <c r="BC664" s="34">
        <f>AW664+AX664</f>
        <v>0</v>
      </c>
      <c r="BD664" s="34">
        <f>H664/(100-BE664)*100</f>
        <v>0</v>
      </c>
      <c r="BE664" s="34">
        <v>0</v>
      </c>
      <c r="BF664" s="34">
        <f>664</f>
        <v>664</v>
      </c>
      <c r="BH664" s="18">
        <f>G664*AO664</f>
        <v>0</v>
      </c>
      <c r="BI664" s="18">
        <f>G664*AP664</f>
        <v>0</v>
      </c>
      <c r="BJ664" s="18">
        <f>G664*H664</f>
        <v>0</v>
      </c>
    </row>
    <row r="665" spans="3:7" ht="12.75">
      <c r="C665" s="101" t="s">
        <v>930</v>
      </c>
      <c r="D665" s="102"/>
      <c r="E665" s="102"/>
      <c r="G665" s="64">
        <v>27.6</v>
      </c>
    </row>
    <row r="666" spans="1:62" ht="12.75">
      <c r="A666" s="5" t="s">
        <v>268</v>
      </c>
      <c r="B666" s="5" t="s">
        <v>502</v>
      </c>
      <c r="C666" s="99" t="s">
        <v>931</v>
      </c>
      <c r="D666" s="100"/>
      <c r="E666" s="100"/>
      <c r="F666" s="5" t="s">
        <v>984</v>
      </c>
      <c r="G666" s="63">
        <v>27.6</v>
      </c>
      <c r="H666" s="18">
        <v>0</v>
      </c>
      <c r="I666" s="18">
        <f>G666*AO666</f>
        <v>0</v>
      </c>
      <c r="J666" s="18">
        <f>G666*AP666</f>
        <v>0</v>
      </c>
      <c r="K666" s="18">
        <f>G666*H666</f>
        <v>0</v>
      </c>
      <c r="L666" s="29"/>
      <c r="Z666" s="34">
        <f>IF(AQ666="5",BJ666,0)</f>
        <v>0</v>
      </c>
      <c r="AB666" s="34">
        <f>IF(AQ666="1",BH666,0)</f>
        <v>0</v>
      </c>
      <c r="AC666" s="34">
        <f>IF(AQ666="1",BI666,0)</f>
        <v>0</v>
      </c>
      <c r="AD666" s="34">
        <f>IF(AQ666="7",BH666,0)</f>
        <v>0</v>
      </c>
      <c r="AE666" s="34">
        <f>IF(AQ666="7",BI666,0)</f>
        <v>0</v>
      </c>
      <c r="AF666" s="34">
        <f>IF(AQ666="2",BH666,0)</f>
        <v>0</v>
      </c>
      <c r="AG666" s="34">
        <f>IF(AQ666="2",BI666,0)</f>
        <v>0</v>
      </c>
      <c r="AH666" s="34">
        <f>IF(AQ666="0",BJ666,0)</f>
        <v>0</v>
      </c>
      <c r="AI666" s="28" t="s">
        <v>1021</v>
      </c>
      <c r="AJ666" s="18">
        <f>IF(AN666=0,K666,0)</f>
        <v>0</v>
      </c>
      <c r="AK666" s="18">
        <f>IF(AN666=15,K666,0)</f>
        <v>0</v>
      </c>
      <c r="AL666" s="18">
        <f>IF(AN666=21,K666,0)</f>
        <v>0</v>
      </c>
      <c r="AN666" s="34">
        <v>21</v>
      </c>
      <c r="AO666" s="34">
        <f>H666*0.0448387096774194</f>
        <v>0</v>
      </c>
      <c r="AP666" s="34">
        <f>H666*(1-0.0448387096774194)</f>
        <v>0</v>
      </c>
      <c r="AQ666" s="29" t="s">
        <v>6</v>
      </c>
      <c r="AV666" s="34">
        <f>AW666+AX666</f>
        <v>0</v>
      </c>
      <c r="AW666" s="34">
        <f>G666*AO666</f>
        <v>0</v>
      </c>
      <c r="AX666" s="34">
        <f>G666*AP666</f>
        <v>0</v>
      </c>
      <c r="AY666" s="35" t="s">
        <v>1045</v>
      </c>
      <c r="AZ666" s="35" t="s">
        <v>1081</v>
      </c>
      <c r="BA666" s="28" t="s">
        <v>1086</v>
      </c>
      <c r="BC666" s="34">
        <f>AW666+AX666</f>
        <v>0</v>
      </c>
      <c r="BD666" s="34">
        <f>H666/(100-BE666)*100</f>
        <v>0</v>
      </c>
      <c r="BE666" s="34">
        <v>0</v>
      </c>
      <c r="BF666" s="34">
        <f>666</f>
        <v>666</v>
      </c>
      <c r="BH666" s="18">
        <f>G666*AO666</f>
        <v>0</v>
      </c>
      <c r="BI666" s="18">
        <f>G666*AP666</f>
        <v>0</v>
      </c>
      <c r="BJ666" s="18">
        <f>G666*H666</f>
        <v>0</v>
      </c>
    </row>
    <row r="667" spans="3:7" ht="12.75">
      <c r="C667" s="101" t="s">
        <v>932</v>
      </c>
      <c r="D667" s="102"/>
      <c r="E667" s="102"/>
      <c r="G667" s="64">
        <v>27.6</v>
      </c>
    </row>
    <row r="668" spans="1:62" ht="12.75">
      <c r="A668" s="5" t="s">
        <v>269</v>
      </c>
      <c r="B668" s="5" t="s">
        <v>503</v>
      </c>
      <c r="C668" s="99" t="s">
        <v>933</v>
      </c>
      <c r="D668" s="100"/>
      <c r="E668" s="100"/>
      <c r="F668" s="5" t="s">
        <v>984</v>
      </c>
      <c r="G668" s="63">
        <v>55.2</v>
      </c>
      <c r="H668" s="18">
        <v>0</v>
      </c>
      <c r="I668" s="18">
        <f>G668*AO668</f>
        <v>0</v>
      </c>
      <c r="J668" s="18">
        <f>G668*AP668</f>
        <v>0</v>
      </c>
      <c r="K668" s="18">
        <f>G668*H668</f>
        <v>0</v>
      </c>
      <c r="L668" s="29"/>
      <c r="Z668" s="34">
        <f>IF(AQ668="5",BJ668,0)</f>
        <v>0</v>
      </c>
      <c r="AB668" s="34">
        <f>IF(AQ668="1",BH668,0)</f>
        <v>0</v>
      </c>
      <c r="AC668" s="34">
        <f>IF(AQ668="1",BI668,0)</f>
        <v>0</v>
      </c>
      <c r="AD668" s="34">
        <f>IF(AQ668="7",BH668,0)</f>
        <v>0</v>
      </c>
      <c r="AE668" s="34">
        <f>IF(AQ668="7",BI668,0)</f>
        <v>0</v>
      </c>
      <c r="AF668" s="34">
        <f>IF(AQ668="2",BH668,0)</f>
        <v>0</v>
      </c>
      <c r="AG668" s="34">
        <f>IF(AQ668="2",BI668,0)</f>
        <v>0</v>
      </c>
      <c r="AH668" s="34">
        <f>IF(AQ668="0",BJ668,0)</f>
        <v>0</v>
      </c>
      <c r="AI668" s="28" t="s">
        <v>1021</v>
      </c>
      <c r="AJ668" s="18">
        <f>IF(AN668=0,K668,0)</f>
        <v>0</v>
      </c>
      <c r="AK668" s="18">
        <f>IF(AN668=15,K668,0)</f>
        <v>0</v>
      </c>
      <c r="AL668" s="18">
        <f>IF(AN668=21,K668,0)</f>
        <v>0</v>
      </c>
      <c r="AN668" s="34">
        <v>21</v>
      </c>
      <c r="AO668" s="34">
        <f>H668*0.714624505928854</f>
        <v>0</v>
      </c>
      <c r="AP668" s="34">
        <f>H668*(1-0.714624505928854)</f>
        <v>0</v>
      </c>
      <c r="AQ668" s="29" t="s">
        <v>6</v>
      </c>
      <c r="AV668" s="34">
        <f>AW668+AX668</f>
        <v>0</v>
      </c>
      <c r="AW668" s="34">
        <f>G668*AO668</f>
        <v>0</v>
      </c>
      <c r="AX668" s="34">
        <f>G668*AP668</f>
        <v>0</v>
      </c>
      <c r="AY668" s="35" t="s">
        <v>1045</v>
      </c>
      <c r="AZ668" s="35" t="s">
        <v>1081</v>
      </c>
      <c r="BA668" s="28" t="s">
        <v>1086</v>
      </c>
      <c r="BC668" s="34">
        <f>AW668+AX668</f>
        <v>0</v>
      </c>
      <c r="BD668" s="34">
        <f>H668/(100-BE668)*100</f>
        <v>0</v>
      </c>
      <c r="BE668" s="34">
        <v>0</v>
      </c>
      <c r="BF668" s="34">
        <f>668</f>
        <v>668</v>
      </c>
      <c r="BH668" s="18">
        <f>G668*AO668</f>
        <v>0</v>
      </c>
      <c r="BI668" s="18">
        <f>G668*AP668</f>
        <v>0</v>
      </c>
      <c r="BJ668" s="18">
        <f>G668*H668</f>
        <v>0</v>
      </c>
    </row>
    <row r="669" spans="3:7" ht="12.75">
      <c r="C669" s="101" t="s">
        <v>934</v>
      </c>
      <c r="D669" s="102"/>
      <c r="E669" s="102"/>
      <c r="G669" s="64">
        <v>55.2</v>
      </c>
    </row>
    <row r="670" spans="1:47" ht="12.75">
      <c r="A670" s="4"/>
      <c r="B670" s="14" t="s">
        <v>100</v>
      </c>
      <c r="C670" s="97" t="s">
        <v>734</v>
      </c>
      <c r="D670" s="98"/>
      <c r="E670" s="98"/>
      <c r="F670" s="4" t="s">
        <v>5</v>
      </c>
      <c r="G670" s="4" t="s">
        <v>5</v>
      </c>
      <c r="H670" s="4" t="s">
        <v>5</v>
      </c>
      <c r="I670" s="37">
        <f>SUM(I671:I677)</f>
        <v>0</v>
      </c>
      <c r="J670" s="37">
        <f>SUM(J671:J677)</f>
        <v>0</v>
      </c>
      <c r="K670" s="37">
        <f>SUM(K671:K677)</f>
        <v>0</v>
      </c>
      <c r="L670" s="28"/>
      <c r="AI670" s="28" t="s">
        <v>1021</v>
      </c>
      <c r="AS670" s="37">
        <f>SUM(AJ671:AJ677)</f>
        <v>0</v>
      </c>
      <c r="AT670" s="37">
        <f>SUM(AK671:AK677)</f>
        <v>0</v>
      </c>
      <c r="AU670" s="37">
        <f>SUM(AL671:AL677)</f>
        <v>0</v>
      </c>
    </row>
    <row r="671" spans="1:62" ht="12.75">
      <c r="A671" s="5" t="s">
        <v>270</v>
      </c>
      <c r="B671" s="5" t="s">
        <v>424</v>
      </c>
      <c r="C671" s="99" t="s">
        <v>735</v>
      </c>
      <c r="D671" s="100"/>
      <c r="E671" s="100"/>
      <c r="F671" s="5" t="s">
        <v>986</v>
      </c>
      <c r="G671" s="63">
        <v>1.35</v>
      </c>
      <c r="H671" s="18">
        <v>0</v>
      </c>
      <c r="I671" s="18">
        <f>G671*AO671</f>
        <v>0</v>
      </c>
      <c r="J671" s="18">
        <f>G671*AP671</f>
        <v>0</v>
      </c>
      <c r="K671" s="18">
        <f>G671*H671</f>
        <v>0</v>
      </c>
      <c r="L671" s="29"/>
      <c r="Z671" s="34">
        <f>IF(AQ671="5",BJ671,0)</f>
        <v>0</v>
      </c>
      <c r="AB671" s="34">
        <f>IF(AQ671="1",BH671,0)</f>
        <v>0</v>
      </c>
      <c r="AC671" s="34">
        <f>IF(AQ671="1",BI671,0)</f>
        <v>0</v>
      </c>
      <c r="AD671" s="34">
        <f>IF(AQ671="7",BH671,0)</f>
        <v>0</v>
      </c>
      <c r="AE671" s="34">
        <f>IF(AQ671="7",BI671,0)</f>
        <v>0</v>
      </c>
      <c r="AF671" s="34">
        <f>IF(AQ671="2",BH671,0)</f>
        <v>0</v>
      </c>
      <c r="AG671" s="34">
        <f>IF(AQ671="2",BI671,0)</f>
        <v>0</v>
      </c>
      <c r="AH671" s="34">
        <f>IF(AQ671="0",BJ671,0)</f>
        <v>0</v>
      </c>
      <c r="AI671" s="28" t="s">
        <v>1021</v>
      </c>
      <c r="AJ671" s="18">
        <f>IF(AN671=0,K671,0)</f>
        <v>0</v>
      </c>
      <c r="AK671" s="18">
        <f>IF(AN671=15,K671,0)</f>
        <v>0</v>
      </c>
      <c r="AL671" s="18">
        <f>IF(AN671=21,K671,0)</f>
        <v>0</v>
      </c>
      <c r="AN671" s="34">
        <v>21</v>
      </c>
      <c r="AO671" s="34">
        <f>H671*0.496093241126987</f>
        <v>0</v>
      </c>
      <c r="AP671" s="34">
        <f>H671*(1-0.496093241126987)</f>
        <v>0</v>
      </c>
      <c r="AQ671" s="29" t="s">
        <v>6</v>
      </c>
      <c r="AV671" s="34">
        <f>AW671+AX671</f>
        <v>0</v>
      </c>
      <c r="AW671" s="34">
        <f>G671*AO671</f>
        <v>0</v>
      </c>
      <c r="AX671" s="34">
        <f>G671*AP671</f>
        <v>0</v>
      </c>
      <c r="AY671" s="35" t="s">
        <v>1046</v>
      </c>
      <c r="AZ671" s="35" t="s">
        <v>1081</v>
      </c>
      <c r="BA671" s="28" t="s">
        <v>1086</v>
      </c>
      <c r="BC671" s="34">
        <f>AW671+AX671</f>
        <v>0</v>
      </c>
      <c r="BD671" s="34">
        <f>H671/(100-BE671)*100</f>
        <v>0</v>
      </c>
      <c r="BE671" s="34">
        <v>0</v>
      </c>
      <c r="BF671" s="34">
        <f>671</f>
        <v>671</v>
      </c>
      <c r="BH671" s="18">
        <f>G671*AO671</f>
        <v>0</v>
      </c>
      <c r="BI671" s="18">
        <f>G671*AP671</f>
        <v>0</v>
      </c>
      <c r="BJ671" s="18">
        <f>G671*H671</f>
        <v>0</v>
      </c>
    </row>
    <row r="672" spans="3:7" ht="12.75">
      <c r="C672" s="101" t="s">
        <v>935</v>
      </c>
      <c r="D672" s="102"/>
      <c r="E672" s="102"/>
      <c r="G672" s="64">
        <v>1.35</v>
      </c>
    </row>
    <row r="673" spans="1:62" ht="12.75">
      <c r="A673" s="5" t="s">
        <v>271</v>
      </c>
      <c r="B673" s="5" t="s">
        <v>425</v>
      </c>
      <c r="C673" s="99" t="s">
        <v>737</v>
      </c>
      <c r="D673" s="100"/>
      <c r="E673" s="100"/>
      <c r="F673" s="5" t="s">
        <v>988</v>
      </c>
      <c r="G673" s="63">
        <v>3</v>
      </c>
      <c r="H673" s="18">
        <v>0</v>
      </c>
      <c r="I673" s="18">
        <f>G673*AO673</f>
        <v>0</v>
      </c>
      <c r="J673" s="18">
        <f>G673*AP673</f>
        <v>0</v>
      </c>
      <c r="K673" s="18">
        <f>G673*H673</f>
        <v>0</v>
      </c>
      <c r="L673" s="29"/>
      <c r="Z673" s="34">
        <f>IF(AQ673="5",BJ673,0)</f>
        <v>0</v>
      </c>
      <c r="AB673" s="34">
        <f>IF(AQ673="1",BH673,0)</f>
        <v>0</v>
      </c>
      <c r="AC673" s="34">
        <f>IF(AQ673="1",BI673,0)</f>
        <v>0</v>
      </c>
      <c r="AD673" s="34">
        <f>IF(AQ673="7",BH673,0)</f>
        <v>0</v>
      </c>
      <c r="AE673" s="34">
        <f>IF(AQ673="7",BI673,0)</f>
        <v>0</v>
      </c>
      <c r="AF673" s="34">
        <f>IF(AQ673="2",BH673,0)</f>
        <v>0</v>
      </c>
      <c r="AG673" s="34">
        <f>IF(AQ673="2",BI673,0)</f>
        <v>0</v>
      </c>
      <c r="AH673" s="34">
        <f>IF(AQ673="0",BJ673,0)</f>
        <v>0</v>
      </c>
      <c r="AI673" s="28" t="s">
        <v>1021</v>
      </c>
      <c r="AJ673" s="18">
        <f>IF(AN673=0,K673,0)</f>
        <v>0</v>
      </c>
      <c r="AK673" s="18">
        <f>IF(AN673=15,K673,0)</f>
        <v>0</v>
      </c>
      <c r="AL673" s="18">
        <f>IF(AN673=21,K673,0)</f>
        <v>0</v>
      </c>
      <c r="AN673" s="34">
        <v>21</v>
      </c>
      <c r="AO673" s="34">
        <f>H673*0</f>
        <v>0</v>
      </c>
      <c r="AP673" s="34">
        <f>H673*(1-0)</f>
        <v>0</v>
      </c>
      <c r="AQ673" s="29" t="s">
        <v>6</v>
      </c>
      <c r="AV673" s="34">
        <f>AW673+AX673</f>
        <v>0</v>
      </c>
      <c r="AW673" s="34">
        <f>G673*AO673</f>
        <v>0</v>
      </c>
      <c r="AX673" s="34">
        <f>G673*AP673</f>
        <v>0</v>
      </c>
      <c r="AY673" s="35" t="s">
        <v>1046</v>
      </c>
      <c r="AZ673" s="35" t="s">
        <v>1081</v>
      </c>
      <c r="BA673" s="28" t="s">
        <v>1086</v>
      </c>
      <c r="BC673" s="34">
        <f>AW673+AX673</f>
        <v>0</v>
      </c>
      <c r="BD673" s="34">
        <f>H673/(100-BE673)*100</f>
        <v>0</v>
      </c>
      <c r="BE673" s="34">
        <v>0</v>
      </c>
      <c r="BF673" s="34">
        <f>673</f>
        <v>673</v>
      </c>
      <c r="BH673" s="18">
        <f>G673*AO673</f>
        <v>0</v>
      </c>
      <c r="BI673" s="18">
        <f>G673*AP673</f>
        <v>0</v>
      </c>
      <c r="BJ673" s="18">
        <f>G673*H673</f>
        <v>0</v>
      </c>
    </row>
    <row r="674" spans="3:7" ht="12.75">
      <c r="C674" s="101" t="s">
        <v>8</v>
      </c>
      <c r="D674" s="102"/>
      <c r="E674" s="102"/>
      <c r="G674" s="64">
        <v>3</v>
      </c>
    </row>
    <row r="675" spans="1:62" ht="12.75">
      <c r="A675" s="6" t="s">
        <v>272</v>
      </c>
      <c r="B675" s="6" t="s">
        <v>426</v>
      </c>
      <c r="C675" s="103" t="s">
        <v>738</v>
      </c>
      <c r="D675" s="104"/>
      <c r="E675" s="104"/>
      <c r="F675" s="6" t="s">
        <v>988</v>
      </c>
      <c r="G675" s="65">
        <v>6</v>
      </c>
      <c r="H675" s="19">
        <v>0</v>
      </c>
      <c r="I675" s="19">
        <f>G675*AO675</f>
        <v>0</v>
      </c>
      <c r="J675" s="19">
        <f>G675*AP675</f>
        <v>0</v>
      </c>
      <c r="K675" s="19">
        <f>G675*H675</f>
        <v>0</v>
      </c>
      <c r="L675" s="30"/>
      <c r="Z675" s="34">
        <f>IF(AQ675="5",BJ675,0)</f>
        <v>0</v>
      </c>
      <c r="AB675" s="34">
        <f>IF(AQ675="1",BH675,0)</f>
        <v>0</v>
      </c>
      <c r="AC675" s="34">
        <f>IF(AQ675="1",BI675,0)</f>
        <v>0</v>
      </c>
      <c r="AD675" s="34">
        <f>IF(AQ675="7",BH675,0)</f>
        <v>0</v>
      </c>
      <c r="AE675" s="34">
        <f>IF(AQ675="7",BI675,0)</f>
        <v>0</v>
      </c>
      <c r="AF675" s="34">
        <f>IF(AQ675="2",BH675,0)</f>
        <v>0</v>
      </c>
      <c r="AG675" s="34">
        <f>IF(AQ675="2",BI675,0)</f>
        <v>0</v>
      </c>
      <c r="AH675" s="34">
        <f>IF(AQ675="0",BJ675,0)</f>
        <v>0</v>
      </c>
      <c r="AI675" s="28" t="s">
        <v>1021</v>
      </c>
      <c r="AJ675" s="19">
        <f>IF(AN675=0,K675,0)</f>
        <v>0</v>
      </c>
      <c r="AK675" s="19">
        <f>IF(AN675=15,K675,0)</f>
        <v>0</v>
      </c>
      <c r="AL675" s="19">
        <f>IF(AN675=21,K675,0)</f>
        <v>0</v>
      </c>
      <c r="AN675" s="34">
        <v>21</v>
      </c>
      <c r="AO675" s="34">
        <f>H675*1</f>
        <v>0</v>
      </c>
      <c r="AP675" s="34">
        <f>H675*(1-1)</f>
        <v>0</v>
      </c>
      <c r="AQ675" s="30" t="s">
        <v>6</v>
      </c>
      <c r="AV675" s="34">
        <f>AW675+AX675</f>
        <v>0</v>
      </c>
      <c r="AW675" s="34">
        <f>G675*AO675</f>
        <v>0</v>
      </c>
      <c r="AX675" s="34">
        <f>G675*AP675</f>
        <v>0</v>
      </c>
      <c r="AY675" s="35" t="s">
        <v>1046</v>
      </c>
      <c r="AZ675" s="35" t="s">
        <v>1081</v>
      </c>
      <c r="BA675" s="28" t="s">
        <v>1086</v>
      </c>
      <c r="BC675" s="34">
        <f>AW675+AX675</f>
        <v>0</v>
      </c>
      <c r="BD675" s="34">
        <f>H675/(100-BE675)*100</f>
        <v>0</v>
      </c>
      <c r="BE675" s="34">
        <v>0</v>
      </c>
      <c r="BF675" s="34">
        <f>675</f>
        <v>675</v>
      </c>
      <c r="BH675" s="19">
        <f>G675*AO675</f>
        <v>0</v>
      </c>
      <c r="BI675" s="19">
        <f>G675*AP675</f>
        <v>0</v>
      </c>
      <c r="BJ675" s="19">
        <f>G675*H675</f>
        <v>0</v>
      </c>
    </row>
    <row r="676" spans="3:7" ht="12.75">
      <c r="C676" s="101" t="s">
        <v>936</v>
      </c>
      <c r="D676" s="102"/>
      <c r="E676" s="102"/>
      <c r="G676" s="64">
        <v>6</v>
      </c>
    </row>
    <row r="677" spans="1:62" ht="12.75">
      <c r="A677" s="5" t="s">
        <v>273</v>
      </c>
      <c r="B677" s="5" t="s">
        <v>427</v>
      </c>
      <c r="C677" s="99" t="s">
        <v>739</v>
      </c>
      <c r="D677" s="100"/>
      <c r="E677" s="100"/>
      <c r="F677" s="5" t="s">
        <v>984</v>
      </c>
      <c r="G677" s="63">
        <v>167.24</v>
      </c>
      <c r="H677" s="18">
        <v>0</v>
      </c>
      <c r="I677" s="18">
        <f>G677*AO677</f>
        <v>0</v>
      </c>
      <c r="J677" s="18">
        <f>G677*AP677</f>
        <v>0</v>
      </c>
      <c r="K677" s="18">
        <f>G677*H677</f>
        <v>0</v>
      </c>
      <c r="L677" s="29"/>
      <c r="Z677" s="34">
        <f>IF(AQ677="5",BJ677,0)</f>
        <v>0</v>
      </c>
      <c r="AB677" s="34">
        <f>IF(AQ677="1",BH677,0)</f>
        <v>0</v>
      </c>
      <c r="AC677" s="34">
        <f>IF(AQ677="1",BI677,0)</f>
        <v>0</v>
      </c>
      <c r="AD677" s="34">
        <f>IF(AQ677="7",BH677,0)</f>
        <v>0</v>
      </c>
      <c r="AE677" s="34">
        <f>IF(AQ677="7",BI677,0)</f>
        <v>0</v>
      </c>
      <c r="AF677" s="34">
        <f>IF(AQ677="2",BH677,0)</f>
        <v>0</v>
      </c>
      <c r="AG677" s="34">
        <f>IF(AQ677="2",BI677,0)</f>
        <v>0</v>
      </c>
      <c r="AH677" s="34">
        <f>IF(AQ677="0",BJ677,0)</f>
        <v>0</v>
      </c>
      <c r="AI677" s="28" t="s">
        <v>1021</v>
      </c>
      <c r="AJ677" s="18">
        <f>IF(AN677=0,K677,0)</f>
        <v>0</v>
      </c>
      <c r="AK677" s="18">
        <f>IF(AN677=15,K677,0)</f>
        <v>0</v>
      </c>
      <c r="AL677" s="18">
        <f>IF(AN677=21,K677,0)</f>
        <v>0</v>
      </c>
      <c r="AN677" s="34">
        <v>21</v>
      </c>
      <c r="AO677" s="34">
        <f>H677*0.013</f>
        <v>0</v>
      </c>
      <c r="AP677" s="34">
        <f>H677*(1-0.013)</f>
        <v>0</v>
      </c>
      <c r="AQ677" s="29" t="s">
        <v>6</v>
      </c>
      <c r="AV677" s="34">
        <f>AW677+AX677</f>
        <v>0</v>
      </c>
      <c r="AW677" s="34">
        <f>G677*AO677</f>
        <v>0</v>
      </c>
      <c r="AX677" s="34">
        <f>G677*AP677</f>
        <v>0</v>
      </c>
      <c r="AY677" s="35" t="s">
        <v>1046</v>
      </c>
      <c r="AZ677" s="35" t="s">
        <v>1081</v>
      </c>
      <c r="BA677" s="28" t="s">
        <v>1086</v>
      </c>
      <c r="BC677" s="34">
        <f>AW677+AX677</f>
        <v>0</v>
      </c>
      <c r="BD677" s="34">
        <f>H677/(100-BE677)*100</f>
        <v>0</v>
      </c>
      <c r="BE677" s="34">
        <v>0</v>
      </c>
      <c r="BF677" s="34">
        <f>677</f>
        <v>677</v>
      </c>
      <c r="BH677" s="18">
        <f>G677*AO677</f>
        <v>0</v>
      </c>
      <c r="BI677" s="18">
        <f>G677*AP677</f>
        <v>0</v>
      </c>
      <c r="BJ677" s="18">
        <f>G677*H677</f>
        <v>0</v>
      </c>
    </row>
    <row r="678" spans="3:7" ht="12.75">
      <c r="C678" s="101" t="s">
        <v>740</v>
      </c>
      <c r="D678" s="102"/>
      <c r="E678" s="102"/>
      <c r="G678" s="64">
        <v>167.24</v>
      </c>
    </row>
    <row r="679" spans="1:47" ht="12.75">
      <c r="A679" s="4"/>
      <c r="B679" s="14" t="s">
        <v>102</v>
      </c>
      <c r="C679" s="97" t="s">
        <v>741</v>
      </c>
      <c r="D679" s="98"/>
      <c r="E679" s="98"/>
      <c r="F679" s="4" t="s">
        <v>5</v>
      </c>
      <c r="G679" s="4" t="s">
        <v>5</v>
      </c>
      <c r="H679" s="4" t="s">
        <v>5</v>
      </c>
      <c r="I679" s="37">
        <f>SUM(I680:I684)</f>
        <v>0</v>
      </c>
      <c r="J679" s="37">
        <f>SUM(J680:J684)</f>
        <v>0</v>
      </c>
      <c r="K679" s="37">
        <f>SUM(K680:K684)</f>
        <v>0</v>
      </c>
      <c r="L679" s="28"/>
      <c r="AI679" s="28" t="s">
        <v>1021</v>
      </c>
      <c r="AS679" s="37">
        <f>SUM(AJ680:AJ684)</f>
        <v>0</v>
      </c>
      <c r="AT679" s="37">
        <f>SUM(AK680:AK684)</f>
        <v>0</v>
      </c>
      <c r="AU679" s="37">
        <f>SUM(AL680:AL684)</f>
        <v>0</v>
      </c>
    </row>
    <row r="680" spans="1:62" ht="12.75">
      <c r="A680" s="5" t="s">
        <v>274</v>
      </c>
      <c r="B680" s="5" t="s">
        <v>428</v>
      </c>
      <c r="C680" s="99" t="s">
        <v>742</v>
      </c>
      <c r="D680" s="100"/>
      <c r="E680" s="100"/>
      <c r="F680" s="5" t="s">
        <v>984</v>
      </c>
      <c r="G680" s="63">
        <v>339.681</v>
      </c>
      <c r="H680" s="18">
        <v>0</v>
      </c>
      <c r="I680" s="18">
        <f>G680*AO680</f>
        <v>0</v>
      </c>
      <c r="J680" s="18">
        <f>G680*AP680</f>
        <v>0</v>
      </c>
      <c r="K680" s="18">
        <f>G680*H680</f>
        <v>0</v>
      </c>
      <c r="L680" s="29"/>
      <c r="Z680" s="34">
        <f>IF(AQ680="5",BJ680,0)</f>
        <v>0</v>
      </c>
      <c r="AB680" s="34">
        <f>IF(AQ680="1",BH680,0)</f>
        <v>0</v>
      </c>
      <c r="AC680" s="34">
        <f>IF(AQ680="1",BI680,0)</f>
        <v>0</v>
      </c>
      <c r="AD680" s="34">
        <f>IF(AQ680="7",BH680,0)</f>
        <v>0</v>
      </c>
      <c r="AE680" s="34">
        <f>IF(AQ680="7",BI680,0)</f>
        <v>0</v>
      </c>
      <c r="AF680" s="34">
        <f>IF(AQ680="2",BH680,0)</f>
        <v>0</v>
      </c>
      <c r="AG680" s="34">
        <f>IF(AQ680="2",BI680,0)</f>
        <v>0</v>
      </c>
      <c r="AH680" s="34">
        <f>IF(AQ680="0",BJ680,0)</f>
        <v>0</v>
      </c>
      <c r="AI680" s="28" t="s">
        <v>1021</v>
      </c>
      <c r="AJ680" s="18">
        <f>IF(AN680=0,K680,0)</f>
        <v>0</v>
      </c>
      <c r="AK680" s="18">
        <f>IF(AN680=15,K680,0)</f>
        <v>0</v>
      </c>
      <c r="AL680" s="18">
        <f>IF(AN680=21,K680,0)</f>
        <v>0</v>
      </c>
      <c r="AN680" s="34">
        <v>21</v>
      </c>
      <c r="AO680" s="34">
        <f>H680*0</f>
        <v>0</v>
      </c>
      <c r="AP680" s="34">
        <f>H680*(1-0)</f>
        <v>0</v>
      </c>
      <c r="AQ680" s="29" t="s">
        <v>6</v>
      </c>
      <c r="AV680" s="34">
        <f>AW680+AX680</f>
        <v>0</v>
      </c>
      <c r="AW680" s="34">
        <f>G680*AO680</f>
        <v>0</v>
      </c>
      <c r="AX680" s="34">
        <f>G680*AP680</f>
        <v>0</v>
      </c>
      <c r="AY680" s="35" t="s">
        <v>1047</v>
      </c>
      <c r="AZ680" s="35" t="s">
        <v>1081</v>
      </c>
      <c r="BA680" s="28" t="s">
        <v>1086</v>
      </c>
      <c r="BC680" s="34">
        <f>AW680+AX680</f>
        <v>0</v>
      </c>
      <c r="BD680" s="34">
        <f>H680/(100-BE680)*100</f>
        <v>0</v>
      </c>
      <c r="BE680" s="34">
        <v>0</v>
      </c>
      <c r="BF680" s="34">
        <f>680</f>
        <v>680</v>
      </c>
      <c r="BH680" s="18">
        <f>G680*AO680</f>
        <v>0</v>
      </c>
      <c r="BI680" s="18">
        <f>G680*AP680</f>
        <v>0</v>
      </c>
      <c r="BJ680" s="18">
        <f>G680*H680</f>
        <v>0</v>
      </c>
    </row>
    <row r="681" spans="3:7" ht="12.75">
      <c r="C681" s="101" t="s">
        <v>847</v>
      </c>
      <c r="D681" s="102"/>
      <c r="E681" s="102"/>
      <c r="G681" s="64">
        <v>339.681</v>
      </c>
    </row>
    <row r="682" spans="1:62" ht="12.75">
      <c r="A682" s="5" t="s">
        <v>275</v>
      </c>
      <c r="B682" s="5" t="s">
        <v>504</v>
      </c>
      <c r="C682" s="99" t="s">
        <v>937</v>
      </c>
      <c r="D682" s="100"/>
      <c r="E682" s="100"/>
      <c r="F682" s="5" t="s">
        <v>988</v>
      </c>
      <c r="G682" s="63">
        <v>1</v>
      </c>
      <c r="H682" s="18">
        <v>0</v>
      </c>
      <c r="I682" s="18">
        <f>G682*AO682</f>
        <v>0</v>
      </c>
      <c r="J682" s="18">
        <f>G682*AP682</f>
        <v>0</v>
      </c>
      <c r="K682" s="18">
        <f>G682*H682</f>
        <v>0</v>
      </c>
      <c r="L682" s="29"/>
      <c r="Z682" s="34">
        <f>IF(AQ682="5",BJ682,0)</f>
        <v>0</v>
      </c>
      <c r="AB682" s="34">
        <f>IF(AQ682="1",BH682,0)</f>
        <v>0</v>
      </c>
      <c r="AC682" s="34">
        <f>IF(AQ682="1",BI682,0)</f>
        <v>0</v>
      </c>
      <c r="AD682" s="34">
        <f>IF(AQ682="7",BH682,0)</f>
        <v>0</v>
      </c>
      <c r="AE682" s="34">
        <f>IF(AQ682="7",BI682,0)</f>
        <v>0</v>
      </c>
      <c r="AF682" s="34">
        <f>IF(AQ682="2",BH682,0)</f>
        <v>0</v>
      </c>
      <c r="AG682" s="34">
        <f>IF(AQ682="2",BI682,0)</f>
        <v>0</v>
      </c>
      <c r="AH682" s="34">
        <f>IF(AQ682="0",BJ682,0)</f>
        <v>0</v>
      </c>
      <c r="AI682" s="28" t="s">
        <v>1021</v>
      </c>
      <c r="AJ682" s="18">
        <f>IF(AN682=0,K682,0)</f>
        <v>0</v>
      </c>
      <c r="AK682" s="18">
        <f>IF(AN682=15,K682,0)</f>
        <v>0</v>
      </c>
      <c r="AL682" s="18">
        <f>IF(AN682=21,K682,0)</f>
        <v>0</v>
      </c>
      <c r="AN682" s="34">
        <v>21</v>
      </c>
      <c r="AO682" s="34">
        <f>H682*0</f>
        <v>0</v>
      </c>
      <c r="AP682" s="34">
        <f>H682*(1-0)</f>
        <v>0</v>
      </c>
      <c r="AQ682" s="29" t="s">
        <v>6</v>
      </c>
      <c r="AV682" s="34">
        <f>AW682+AX682</f>
        <v>0</v>
      </c>
      <c r="AW682" s="34">
        <f>G682*AO682</f>
        <v>0</v>
      </c>
      <c r="AX682" s="34">
        <f>G682*AP682</f>
        <v>0</v>
      </c>
      <c r="AY682" s="35" t="s">
        <v>1047</v>
      </c>
      <c r="AZ682" s="35" t="s">
        <v>1081</v>
      </c>
      <c r="BA682" s="28" t="s">
        <v>1086</v>
      </c>
      <c r="BC682" s="34">
        <f>AW682+AX682</f>
        <v>0</v>
      </c>
      <c r="BD682" s="34">
        <f>H682/(100-BE682)*100</f>
        <v>0</v>
      </c>
      <c r="BE682" s="34">
        <v>0</v>
      </c>
      <c r="BF682" s="34">
        <f>682</f>
        <v>682</v>
      </c>
      <c r="BH682" s="18">
        <f>G682*AO682</f>
        <v>0</v>
      </c>
      <c r="BI682" s="18">
        <f>G682*AP682</f>
        <v>0</v>
      </c>
      <c r="BJ682" s="18">
        <f>G682*H682</f>
        <v>0</v>
      </c>
    </row>
    <row r="683" spans="3:7" ht="12.75">
      <c r="C683" s="101" t="s">
        <v>6</v>
      </c>
      <c r="D683" s="102"/>
      <c r="E683" s="102"/>
      <c r="G683" s="64">
        <v>1</v>
      </c>
    </row>
    <row r="684" spans="1:62" ht="12.75">
      <c r="A684" s="5" t="s">
        <v>276</v>
      </c>
      <c r="B684" s="5" t="s">
        <v>429</v>
      </c>
      <c r="C684" s="99" t="s">
        <v>743</v>
      </c>
      <c r="D684" s="100"/>
      <c r="E684" s="100"/>
      <c r="F684" s="5" t="s">
        <v>986</v>
      </c>
      <c r="G684" s="63">
        <v>7.2</v>
      </c>
      <c r="H684" s="18">
        <v>0</v>
      </c>
      <c r="I684" s="18">
        <f>G684*AO684</f>
        <v>0</v>
      </c>
      <c r="J684" s="18">
        <f>G684*AP684</f>
        <v>0</v>
      </c>
      <c r="K684" s="18">
        <f>G684*H684</f>
        <v>0</v>
      </c>
      <c r="L684" s="29"/>
      <c r="Z684" s="34">
        <f>IF(AQ684="5",BJ684,0)</f>
        <v>0</v>
      </c>
      <c r="AB684" s="34">
        <f>IF(AQ684="1",BH684,0)</f>
        <v>0</v>
      </c>
      <c r="AC684" s="34">
        <f>IF(AQ684="1",BI684,0)</f>
        <v>0</v>
      </c>
      <c r="AD684" s="34">
        <f>IF(AQ684="7",BH684,0)</f>
        <v>0</v>
      </c>
      <c r="AE684" s="34">
        <f>IF(AQ684="7",BI684,0)</f>
        <v>0</v>
      </c>
      <c r="AF684" s="34">
        <f>IF(AQ684="2",BH684,0)</f>
        <v>0</v>
      </c>
      <c r="AG684" s="34">
        <f>IF(AQ684="2",BI684,0)</f>
        <v>0</v>
      </c>
      <c r="AH684" s="34">
        <f>IF(AQ684="0",BJ684,0)</f>
        <v>0</v>
      </c>
      <c r="AI684" s="28" t="s">
        <v>1021</v>
      </c>
      <c r="AJ684" s="18">
        <f>IF(AN684=0,K684,0)</f>
        <v>0</v>
      </c>
      <c r="AK684" s="18">
        <f>IF(AN684=15,K684,0)</f>
        <v>0</v>
      </c>
      <c r="AL684" s="18">
        <f>IF(AN684=21,K684,0)</f>
        <v>0</v>
      </c>
      <c r="AN684" s="34">
        <v>21</v>
      </c>
      <c r="AO684" s="34">
        <f>H684*0.169075144508671</f>
        <v>0</v>
      </c>
      <c r="AP684" s="34">
        <f>H684*(1-0.169075144508671)</f>
        <v>0</v>
      </c>
      <c r="AQ684" s="29" t="s">
        <v>6</v>
      </c>
      <c r="AV684" s="34">
        <f>AW684+AX684</f>
        <v>0</v>
      </c>
      <c r="AW684" s="34">
        <f>G684*AO684</f>
        <v>0</v>
      </c>
      <c r="AX684" s="34">
        <f>G684*AP684</f>
        <v>0</v>
      </c>
      <c r="AY684" s="35" t="s">
        <v>1047</v>
      </c>
      <c r="AZ684" s="35" t="s">
        <v>1081</v>
      </c>
      <c r="BA684" s="28" t="s">
        <v>1086</v>
      </c>
      <c r="BC684" s="34">
        <f>AW684+AX684</f>
        <v>0</v>
      </c>
      <c r="BD684" s="34">
        <f>H684/(100-BE684)*100</f>
        <v>0</v>
      </c>
      <c r="BE684" s="34">
        <v>0</v>
      </c>
      <c r="BF684" s="34">
        <f>684</f>
        <v>684</v>
      </c>
      <c r="BH684" s="18">
        <f>G684*AO684</f>
        <v>0</v>
      </c>
      <c r="BI684" s="18">
        <f>G684*AP684</f>
        <v>0</v>
      </c>
      <c r="BJ684" s="18">
        <f>G684*H684</f>
        <v>0</v>
      </c>
    </row>
    <row r="685" spans="3:7" ht="12.75">
      <c r="C685" s="101" t="s">
        <v>938</v>
      </c>
      <c r="D685" s="102"/>
      <c r="E685" s="102"/>
      <c r="G685" s="64">
        <v>7.2</v>
      </c>
    </row>
    <row r="686" spans="1:47" ht="12.75">
      <c r="A686" s="4"/>
      <c r="B686" s="14" t="s">
        <v>430</v>
      </c>
      <c r="C686" s="97" t="s">
        <v>745</v>
      </c>
      <c r="D686" s="98"/>
      <c r="E686" s="98"/>
      <c r="F686" s="4" t="s">
        <v>5</v>
      </c>
      <c r="G686" s="4" t="s">
        <v>5</v>
      </c>
      <c r="H686" s="4" t="s">
        <v>5</v>
      </c>
      <c r="I686" s="37">
        <f>SUM(I687:I687)</f>
        <v>0</v>
      </c>
      <c r="J686" s="37">
        <f>SUM(J687:J687)</f>
        <v>0</v>
      </c>
      <c r="K686" s="37">
        <f>SUM(K687:K687)</f>
        <v>0</v>
      </c>
      <c r="L686" s="28"/>
      <c r="AI686" s="28" t="s">
        <v>1021</v>
      </c>
      <c r="AS686" s="37">
        <f>SUM(AJ687:AJ687)</f>
        <v>0</v>
      </c>
      <c r="AT686" s="37">
        <f>SUM(AK687:AK687)</f>
        <v>0</v>
      </c>
      <c r="AU686" s="37">
        <f>SUM(AL687:AL687)</f>
        <v>0</v>
      </c>
    </row>
    <row r="687" spans="1:62" ht="12.75">
      <c r="A687" s="5" t="s">
        <v>277</v>
      </c>
      <c r="B687" s="5" t="s">
        <v>431</v>
      </c>
      <c r="C687" s="99" t="s">
        <v>746</v>
      </c>
      <c r="D687" s="100"/>
      <c r="E687" s="100"/>
      <c r="F687" s="5" t="s">
        <v>987</v>
      </c>
      <c r="G687" s="63">
        <v>110.558</v>
      </c>
      <c r="H687" s="18">
        <v>0</v>
      </c>
      <c r="I687" s="18">
        <f>G687*AO687</f>
        <v>0</v>
      </c>
      <c r="J687" s="18">
        <f>G687*AP687</f>
        <v>0</v>
      </c>
      <c r="K687" s="18">
        <f>G687*H687</f>
        <v>0</v>
      </c>
      <c r="L687" s="29"/>
      <c r="Z687" s="34">
        <f>IF(AQ687="5",BJ687,0)</f>
        <v>0</v>
      </c>
      <c r="AB687" s="34">
        <f>IF(AQ687="1",BH687,0)</f>
        <v>0</v>
      </c>
      <c r="AC687" s="34">
        <f>IF(AQ687="1",BI687,0)</f>
        <v>0</v>
      </c>
      <c r="AD687" s="34">
        <f>IF(AQ687="7",BH687,0)</f>
        <v>0</v>
      </c>
      <c r="AE687" s="34">
        <f>IF(AQ687="7",BI687,0)</f>
        <v>0</v>
      </c>
      <c r="AF687" s="34">
        <f>IF(AQ687="2",BH687,0)</f>
        <v>0</v>
      </c>
      <c r="AG687" s="34">
        <f>IF(AQ687="2",BI687,0)</f>
        <v>0</v>
      </c>
      <c r="AH687" s="34">
        <f>IF(AQ687="0",BJ687,0)</f>
        <v>0</v>
      </c>
      <c r="AI687" s="28" t="s">
        <v>1021</v>
      </c>
      <c r="AJ687" s="18">
        <f>IF(AN687=0,K687,0)</f>
        <v>0</v>
      </c>
      <c r="AK687" s="18">
        <f>IF(AN687=15,K687,0)</f>
        <v>0</v>
      </c>
      <c r="AL687" s="18">
        <f>IF(AN687=21,K687,0)</f>
        <v>0</v>
      </c>
      <c r="AN687" s="34">
        <v>21</v>
      </c>
      <c r="AO687" s="34">
        <f>H687*0</f>
        <v>0</v>
      </c>
      <c r="AP687" s="34">
        <f>H687*(1-0)</f>
        <v>0</v>
      </c>
      <c r="AQ687" s="29" t="s">
        <v>10</v>
      </c>
      <c r="AV687" s="34">
        <f>AW687+AX687</f>
        <v>0</v>
      </c>
      <c r="AW687" s="34">
        <f>G687*AO687</f>
        <v>0</v>
      </c>
      <c r="AX687" s="34">
        <f>G687*AP687</f>
        <v>0</v>
      </c>
      <c r="AY687" s="35" t="s">
        <v>1048</v>
      </c>
      <c r="AZ687" s="35" t="s">
        <v>1081</v>
      </c>
      <c r="BA687" s="28" t="s">
        <v>1086</v>
      </c>
      <c r="BC687" s="34">
        <f>AW687+AX687</f>
        <v>0</v>
      </c>
      <c r="BD687" s="34">
        <f>H687/(100-BE687)*100</f>
        <v>0</v>
      </c>
      <c r="BE687" s="34">
        <v>0</v>
      </c>
      <c r="BF687" s="34">
        <f>687</f>
        <v>687</v>
      </c>
      <c r="BH687" s="18">
        <f>G687*AO687</f>
        <v>0</v>
      </c>
      <c r="BI687" s="18">
        <f>G687*AP687</f>
        <v>0</v>
      </c>
      <c r="BJ687" s="18">
        <f>G687*H687</f>
        <v>0</v>
      </c>
    </row>
    <row r="688" spans="1:47" ht="12.75">
      <c r="A688" s="4"/>
      <c r="B688" s="14" t="s">
        <v>432</v>
      </c>
      <c r="C688" s="97" t="s">
        <v>748</v>
      </c>
      <c r="D688" s="98"/>
      <c r="E688" s="98"/>
      <c r="F688" s="4" t="s">
        <v>5</v>
      </c>
      <c r="G688" s="4" t="s">
        <v>5</v>
      </c>
      <c r="H688" s="4" t="s">
        <v>5</v>
      </c>
      <c r="I688" s="37">
        <f>SUM(I689:I713)</f>
        <v>0</v>
      </c>
      <c r="J688" s="37">
        <f>SUM(J689:J713)</f>
        <v>0</v>
      </c>
      <c r="K688" s="37">
        <f>SUM(K689:K713)</f>
        <v>0</v>
      </c>
      <c r="L688" s="28"/>
      <c r="AI688" s="28" t="s">
        <v>1021</v>
      </c>
      <c r="AS688" s="37">
        <f>SUM(AJ689:AJ713)</f>
        <v>0</v>
      </c>
      <c r="AT688" s="37">
        <f>SUM(AK689:AK713)</f>
        <v>0</v>
      </c>
      <c r="AU688" s="37">
        <f>SUM(AL689:AL713)</f>
        <v>0</v>
      </c>
    </row>
    <row r="689" spans="1:62" ht="12.75">
      <c r="A689" s="5" t="s">
        <v>278</v>
      </c>
      <c r="B689" s="5" t="s">
        <v>433</v>
      </c>
      <c r="C689" s="99" t="s">
        <v>749</v>
      </c>
      <c r="D689" s="100"/>
      <c r="E689" s="100"/>
      <c r="F689" s="5" t="s">
        <v>986</v>
      </c>
      <c r="G689" s="63">
        <v>20</v>
      </c>
      <c r="H689" s="18">
        <v>0</v>
      </c>
      <c r="I689" s="18">
        <f>G689*AO689</f>
        <v>0</v>
      </c>
      <c r="J689" s="18">
        <f>G689*AP689</f>
        <v>0</v>
      </c>
      <c r="K689" s="18">
        <f>G689*H689</f>
        <v>0</v>
      </c>
      <c r="L689" s="29"/>
      <c r="Z689" s="34">
        <f>IF(AQ689="5",BJ689,0)</f>
        <v>0</v>
      </c>
      <c r="AB689" s="34">
        <f>IF(AQ689="1",BH689,0)</f>
        <v>0</v>
      </c>
      <c r="AC689" s="34">
        <f>IF(AQ689="1",BI689,0)</f>
        <v>0</v>
      </c>
      <c r="AD689" s="34">
        <f>IF(AQ689="7",BH689,0)</f>
        <v>0</v>
      </c>
      <c r="AE689" s="34">
        <f>IF(AQ689="7",BI689,0)</f>
        <v>0</v>
      </c>
      <c r="AF689" s="34">
        <f>IF(AQ689="2",BH689,0)</f>
        <v>0</v>
      </c>
      <c r="AG689" s="34">
        <f>IF(AQ689="2",BI689,0)</f>
        <v>0</v>
      </c>
      <c r="AH689" s="34">
        <f>IF(AQ689="0",BJ689,0)</f>
        <v>0</v>
      </c>
      <c r="AI689" s="28" t="s">
        <v>1021</v>
      </c>
      <c r="AJ689" s="18">
        <f>IF(AN689=0,K689,0)</f>
        <v>0</v>
      </c>
      <c r="AK689" s="18">
        <f>IF(AN689=15,K689,0)</f>
        <v>0</v>
      </c>
      <c r="AL689" s="18">
        <f>IF(AN689=21,K689,0)</f>
        <v>0</v>
      </c>
      <c r="AN689" s="34">
        <v>21</v>
      </c>
      <c r="AO689" s="34">
        <f>H689*0.32025</f>
        <v>0</v>
      </c>
      <c r="AP689" s="34">
        <f>H689*(1-0.32025)</f>
        <v>0</v>
      </c>
      <c r="AQ689" s="29" t="s">
        <v>7</v>
      </c>
      <c r="AV689" s="34">
        <f>AW689+AX689</f>
        <v>0</v>
      </c>
      <c r="AW689" s="34">
        <f>G689*AO689</f>
        <v>0</v>
      </c>
      <c r="AX689" s="34">
        <f>G689*AP689</f>
        <v>0</v>
      </c>
      <c r="AY689" s="35" t="s">
        <v>1049</v>
      </c>
      <c r="AZ689" s="35" t="s">
        <v>1081</v>
      </c>
      <c r="BA689" s="28" t="s">
        <v>1086</v>
      </c>
      <c r="BC689" s="34">
        <f>AW689+AX689</f>
        <v>0</v>
      </c>
      <c r="BD689" s="34">
        <f>H689/(100-BE689)*100</f>
        <v>0</v>
      </c>
      <c r="BE689" s="34">
        <v>0</v>
      </c>
      <c r="BF689" s="34">
        <f>689</f>
        <v>689</v>
      </c>
      <c r="BH689" s="18">
        <f>G689*AO689</f>
        <v>0</v>
      </c>
      <c r="BI689" s="18">
        <f>G689*AP689</f>
        <v>0</v>
      </c>
      <c r="BJ689" s="18">
        <f>G689*H689</f>
        <v>0</v>
      </c>
    </row>
    <row r="690" spans="3:7" ht="12.75">
      <c r="C690" s="101" t="s">
        <v>25</v>
      </c>
      <c r="D690" s="102"/>
      <c r="E690" s="102"/>
      <c r="G690" s="64">
        <v>20</v>
      </c>
    </row>
    <row r="691" spans="1:62" ht="12.75">
      <c r="A691" s="5" t="s">
        <v>279</v>
      </c>
      <c r="B691" s="5" t="s">
        <v>434</v>
      </c>
      <c r="C691" s="99" t="s">
        <v>750</v>
      </c>
      <c r="D691" s="100"/>
      <c r="E691" s="100"/>
      <c r="F691" s="5" t="s">
        <v>986</v>
      </c>
      <c r="G691" s="63">
        <v>15</v>
      </c>
      <c r="H691" s="18">
        <v>0</v>
      </c>
      <c r="I691" s="18">
        <f>G691*AO691</f>
        <v>0</v>
      </c>
      <c r="J691" s="18">
        <f>G691*AP691</f>
        <v>0</v>
      </c>
      <c r="K691" s="18">
        <f>G691*H691</f>
        <v>0</v>
      </c>
      <c r="L691" s="29"/>
      <c r="Z691" s="34">
        <f>IF(AQ691="5",BJ691,0)</f>
        <v>0</v>
      </c>
      <c r="AB691" s="34">
        <f>IF(AQ691="1",BH691,0)</f>
        <v>0</v>
      </c>
      <c r="AC691" s="34">
        <f>IF(AQ691="1",BI691,0)</f>
        <v>0</v>
      </c>
      <c r="AD691" s="34">
        <f>IF(AQ691="7",BH691,0)</f>
        <v>0</v>
      </c>
      <c r="AE691" s="34">
        <f>IF(AQ691="7",BI691,0)</f>
        <v>0</v>
      </c>
      <c r="AF691" s="34">
        <f>IF(AQ691="2",BH691,0)</f>
        <v>0</v>
      </c>
      <c r="AG691" s="34">
        <f>IF(AQ691="2",BI691,0)</f>
        <v>0</v>
      </c>
      <c r="AH691" s="34">
        <f>IF(AQ691="0",BJ691,0)</f>
        <v>0</v>
      </c>
      <c r="AI691" s="28" t="s">
        <v>1021</v>
      </c>
      <c r="AJ691" s="18">
        <f>IF(AN691=0,K691,0)</f>
        <v>0</v>
      </c>
      <c r="AK691" s="18">
        <f>IF(AN691=15,K691,0)</f>
        <v>0</v>
      </c>
      <c r="AL691" s="18">
        <f>IF(AN691=21,K691,0)</f>
        <v>0</v>
      </c>
      <c r="AN691" s="34">
        <v>21</v>
      </c>
      <c r="AO691" s="34">
        <f>H691*0.499780821917808</f>
        <v>0</v>
      </c>
      <c r="AP691" s="34">
        <f>H691*(1-0.499780821917808)</f>
        <v>0</v>
      </c>
      <c r="AQ691" s="29" t="s">
        <v>7</v>
      </c>
      <c r="AV691" s="34">
        <f>AW691+AX691</f>
        <v>0</v>
      </c>
      <c r="AW691" s="34">
        <f>G691*AO691</f>
        <v>0</v>
      </c>
      <c r="AX691" s="34">
        <f>G691*AP691</f>
        <v>0</v>
      </c>
      <c r="AY691" s="35" t="s">
        <v>1049</v>
      </c>
      <c r="AZ691" s="35" t="s">
        <v>1081</v>
      </c>
      <c r="BA691" s="28" t="s">
        <v>1086</v>
      </c>
      <c r="BC691" s="34">
        <f>AW691+AX691</f>
        <v>0</v>
      </c>
      <c r="BD691" s="34">
        <f>H691/(100-BE691)*100</f>
        <v>0</v>
      </c>
      <c r="BE691" s="34">
        <v>0</v>
      </c>
      <c r="BF691" s="34">
        <f>691</f>
        <v>691</v>
      </c>
      <c r="BH691" s="18">
        <f>G691*AO691</f>
        <v>0</v>
      </c>
      <c r="BI691" s="18">
        <f>G691*AP691</f>
        <v>0</v>
      </c>
      <c r="BJ691" s="18">
        <f>G691*H691</f>
        <v>0</v>
      </c>
    </row>
    <row r="692" spans="3:7" ht="12.75">
      <c r="C692" s="101" t="s">
        <v>20</v>
      </c>
      <c r="D692" s="102"/>
      <c r="E692" s="102"/>
      <c r="G692" s="64">
        <v>15</v>
      </c>
    </row>
    <row r="693" spans="1:62" ht="12.75">
      <c r="A693" s="5" t="s">
        <v>280</v>
      </c>
      <c r="B693" s="5" t="s">
        <v>435</v>
      </c>
      <c r="C693" s="99" t="s">
        <v>751</v>
      </c>
      <c r="D693" s="100"/>
      <c r="E693" s="100"/>
      <c r="F693" s="5" t="s">
        <v>986</v>
      </c>
      <c r="G693" s="63">
        <v>75</v>
      </c>
      <c r="H693" s="18">
        <v>0</v>
      </c>
      <c r="I693" s="18">
        <f>G693*AO693</f>
        <v>0</v>
      </c>
      <c r="J693" s="18">
        <f>G693*AP693</f>
        <v>0</v>
      </c>
      <c r="K693" s="18">
        <f>G693*H693</f>
        <v>0</v>
      </c>
      <c r="L693" s="29"/>
      <c r="Z693" s="34">
        <f>IF(AQ693="5",BJ693,0)</f>
        <v>0</v>
      </c>
      <c r="AB693" s="34">
        <f>IF(AQ693="1",BH693,0)</f>
        <v>0</v>
      </c>
      <c r="AC693" s="34">
        <f>IF(AQ693="1",BI693,0)</f>
        <v>0</v>
      </c>
      <c r="AD693" s="34">
        <f>IF(AQ693="7",BH693,0)</f>
        <v>0</v>
      </c>
      <c r="AE693" s="34">
        <f>IF(AQ693="7",BI693,0)</f>
        <v>0</v>
      </c>
      <c r="AF693" s="34">
        <f>IF(AQ693="2",BH693,0)</f>
        <v>0</v>
      </c>
      <c r="AG693" s="34">
        <f>IF(AQ693="2",BI693,0)</f>
        <v>0</v>
      </c>
      <c r="AH693" s="34">
        <f>IF(AQ693="0",BJ693,0)</f>
        <v>0</v>
      </c>
      <c r="AI693" s="28" t="s">
        <v>1021</v>
      </c>
      <c r="AJ693" s="18">
        <f>IF(AN693=0,K693,0)</f>
        <v>0</v>
      </c>
      <c r="AK693" s="18">
        <f>IF(AN693=15,K693,0)</f>
        <v>0</v>
      </c>
      <c r="AL693" s="18">
        <f>IF(AN693=21,K693,0)</f>
        <v>0</v>
      </c>
      <c r="AN693" s="34">
        <v>21</v>
      </c>
      <c r="AO693" s="34">
        <f>H693*0.356243213897937</f>
        <v>0</v>
      </c>
      <c r="AP693" s="34">
        <f>H693*(1-0.356243213897937)</f>
        <v>0</v>
      </c>
      <c r="AQ693" s="29" t="s">
        <v>7</v>
      </c>
      <c r="AV693" s="34">
        <f>AW693+AX693</f>
        <v>0</v>
      </c>
      <c r="AW693" s="34">
        <f>G693*AO693</f>
        <v>0</v>
      </c>
      <c r="AX693" s="34">
        <f>G693*AP693</f>
        <v>0</v>
      </c>
      <c r="AY693" s="35" t="s">
        <v>1049</v>
      </c>
      <c r="AZ693" s="35" t="s">
        <v>1081</v>
      </c>
      <c r="BA693" s="28" t="s">
        <v>1086</v>
      </c>
      <c r="BC693" s="34">
        <f>AW693+AX693</f>
        <v>0</v>
      </c>
      <c r="BD693" s="34">
        <f>H693/(100-BE693)*100</f>
        <v>0</v>
      </c>
      <c r="BE693" s="34">
        <v>0</v>
      </c>
      <c r="BF693" s="34">
        <f>693</f>
        <v>693</v>
      </c>
      <c r="BH693" s="18">
        <f>G693*AO693</f>
        <v>0</v>
      </c>
      <c r="BI693" s="18">
        <f>G693*AP693</f>
        <v>0</v>
      </c>
      <c r="BJ693" s="18">
        <f>G693*H693</f>
        <v>0</v>
      </c>
    </row>
    <row r="694" spans="3:7" ht="12.75">
      <c r="C694" s="101" t="s">
        <v>80</v>
      </c>
      <c r="D694" s="102"/>
      <c r="E694" s="102"/>
      <c r="G694" s="64">
        <v>75</v>
      </c>
    </row>
    <row r="695" spans="1:62" ht="12.75">
      <c r="A695" s="5" t="s">
        <v>281</v>
      </c>
      <c r="B695" s="5" t="s">
        <v>436</v>
      </c>
      <c r="C695" s="99" t="s">
        <v>752</v>
      </c>
      <c r="D695" s="100"/>
      <c r="E695" s="100"/>
      <c r="F695" s="5" t="s">
        <v>986</v>
      </c>
      <c r="G695" s="63">
        <v>20</v>
      </c>
      <c r="H695" s="18">
        <v>0</v>
      </c>
      <c r="I695" s="18">
        <f>G695*AO695</f>
        <v>0</v>
      </c>
      <c r="J695" s="18">
        <f>G695*AP695</f>
        <v>0</v>
      </c>
      <c r="K695" s="18">
        <f>G695*H695</f>
        <v>0</v>
      </c>
      <c r="L695" s="29"/>
      <c r="Z695" s="34">
        <f>IF(AQ695="5",BJ695,0)</f>
        <v>0</v>
      </c>
      <c r="AB695" s="34">
        <f>IF(AQ695="1",BH695,0)</f>
        <v>0</v>
      </c>
      <c r="AC695" s="34">
        <f>IF(AQ695="1",BI695,0)</f>
        <v>0</v>
      </c>
      <c r="AD695" s="34">
        <f>IF(AQ695="7",BH695,0)</f>
        <v>0</v>
      </c>
      <c r="AE695" s="34">
        <f>IF(AQ695="7",BI695,0)</f>
        <v>0</v>
      </c>
      <c r="AF695" s="34">
        <f>IF(AQ695="2",BH695,0)</f>
        <v>0</v>
      </c>
      <c r="AG695" s="34">
        <f>IF(AQ695="2",BI695,0)</f>
        <v>0</v>
      </c>
      <c r="AH695" s="34">
        <f>IF(AQ695="0",BJ695,0)</f>
        <v>0</v>
      </c>
      <c r="AI695" s="28" t="s">
        <v>1021</v>
      </c>
      <c r="AJ695" s="18">
        <f>IF(AN695=0,K695,0)</f>
        <v>0</v>
      </c>
      <c r="AK695" s="18">
        <f>IF(AN695=15,K695,0)</f>
        <v>0</v>
      </c>
      <c r="AL695" s="18">
        <f>IF(AN695=21,K695,0)</f>
        <v>0</v>
      </c>
      <c r="AN695" s="34">
        <v>21</v>
      </c>
      <c r="AO695" s="34">
        <f>H695*0.0791902109841864</f>
        <v>0</v>
      </c>
      <c r="AP695" s="34">
        <f>H695*(1-0.0791902109841864)</f>
        <v>0</v>
      </c>
      <c r="AQ695" s="29" t="s">
        <v>7</v>
      </c>
      <c r="AV695" s="34">
        <f>AW695+AX695</f>
        <v>0</v>
      </c>
      <c r="AW695" s="34">
        <f>G695*AO695</f>
        <v>0</v>
      </c>
      <c r="AX695" s="34">
        <f>G695*AP695</f>
        <v>0</v>
      </c>
      <c r="AY695" s="35" t="s">
        <v>1049</v>
      </c>
      <c r="AZ695" s="35" t="s">
        <v>1081</v>
      </c>
      <c r="BA695" s="28" t="s">
        <v>1086</v>
      </c>
      <c r="BC695" s="34">
        <f>AW695+AX695</f>
        <v>0</v>
      </c>
      <c r="BD695" s="34">
        <f>H695/(100-BE695)*100</f>
        <v>0</v>
      </c>
      <c r="BE695" s="34">
        <v>0</v>
      </c>
      <c r="BF695" s="34">
        <f>695</f>
        <v>695</v>
      </c>
      <c r="BH695" s="18">
        <f>G695*AO695</f>
        <v>0</v>
      </c>
      <c r="BI695" s="18">
        <f>G695*AP695</f>
        <v>0</v>
      </c>
      <c r="BJ695" s="18">
        <f>G695*H695</f>
        <v>0</v>
      </c>
    </row>
    <row r="696" spans="3:7" ht="12.75">
      <c r="C696" s="101" t="s">
        <v>25</v>
      </c>
      <c r="D696" s="102"/>
      <c r="E696" s="102"/>
      <c r="G696" s="64">
        <v>20</v>
      </c>
    </row>
    <row r="697" spans="1:62" ht="12.75">
      <c r="A697" s="5" t="s">
        <v>282</v>
      </c>
      <c r="B697" s="5" t="s">
        <v>437</v>
      </c>
      <c r="C697" s="99" t="s">
        <v>753</v>
      </c>
      <c r="D697" s="100"/>
      <c r="E697" s="100"/>
      <c r="F697" s="5" t="s">
        <v>986</v>
      </c>
      <c r="G697" s="63">
        <v>50</v>
      </c>
      <c r="H697" s="18">
        <v>0</v>
      </c>
      <c r="I697" s="18">
        <f>G697*AO697</f>
        <v>0</v>
      </c>
      <c r="J697" s="18">
        <f>G697*AP697</f>
        <v>0</v>
      </c>
      <c r="K697" s="18">
        <f>G697*H697</f>
        <v>0</v>
      </c>
      <c r="L697" s="29"/>
      <c r="Z697" s="34">
        <f>IF(AQ697="5",BJ697,0)</f>
        <v>0</v>
      </c>
      <c r="AB697" s="34">
        <f>IF(AQ697="1",BH697,0)</f>
        <v>0</v>
      </c>
      <c r="AC697" s="34">
        <f>IF(AQ697="1",BI697,0)</f>
        <v>0</v>
      </c>
      <c r="AD697" s="34">
        <f>IF(AQ697="7",BH697,0)</f>
        <v>0</v>
      </c>
      <c r="AE697" s="34">
        <f>IF(AQ697="7",BI697,0)</f>
        <v>0</v>
      </c>
      <c r="AF697" s="34">
        <f>IF(AQ697="2",BH697,0)</f>
        <v>0</v>
      </c>
      <c r="AG697" s="34">
        <f>IF(AQ697="2",BI697,0)</f>
        <v>0</v>
      </c>
      <c r="AH697" s="34">
        <f>IF(AQ697="0",BJ697,0)</f>
        <v>0</v>
      </c>
      <c r="AI697" s="28" t="s">
        <v>1021</v>
      </c>
      <c r="AJ697" s="18">
        <f>IF(AN697=0,K697,0)</f>
        <v>0</v>
      </c>
      <c r="AK697" s="18">
        <f>IF(AN697=15,K697,0)</f>
        <v>0</v>
      </c>
      <c r="AL697" s="18">
        <f>IF(AN697=21,K697,0)</f>
        <v>0</v>
      </c>
      <c r="AN697" s="34">
        <v>21</v>
      </c>
      <c r="AO697" s="34">
        <f>H697*0.242382688384227</f>
        <v>0</v>
      </c>
      <c r="AP697" s="34">
        <f>H697*(1-0.242382688384227)</f>
        <v>0</v>
      </c>
      <c r="AQ697" s="29" t="s">
        <v>7</v>
      </c>
      <c r="AV697" s="34">
        <f>AW697+AX697</f>
        <v>0</v>
      </c>
      <c r="AW697" s="34">
        <f>G697*AO697</f>
        <v>0</v>
      </c>
      <c r="AX697" s="34">
        <f>G697*AP697</f>
        <v>0</v>
      </c>
      <c r="AY697" s="35" t="s">
        <v>1049</v>
      </c>
      <c r="AZ697" s="35" t="s">
        <v>1081</v>
      </c>
      <c r="BA697" s="28" t="s">
        <v>1086</v>
      </c>
      <c r="BC697" s="34">
        <f>AW697+AX697</f>
        <v>0</v>
      </c>
      <c r="BD697" s="34">
        <f>H697/(100-BE697)*100</f>
        <v>0</v>
      </c>
      <c r="BE697" s="34">
        <v>0</v>
      </c>
      <c r="BF697" s="34">
        <f>697</f>
        <v>697</v>
      </c>
      <c r="BH697" s="18">
        <f>G697*AO697</f>
        <v>0</v>
      </c>
      <c r="BI697" s="18">
        <f>G697*AP697</f>
        <v>0</v>
      </c>
      <c r="BJ697" s="18">
        <f>G697*H697</f>
        <v>0</v>
      </c>
    </row>
    <row r="698" spans="3:7" ht="12.75">
      <c r="C698" s="101" t="s">
        <v>55</v>
      </c>
      <c r="D698" s="102"/>
      <c r="E698" s="102"/>
      <c r="G698" s="64">
        <v>50</v>
      </c>
    </row>
    <row r="699" spans="1:62" ht="12.75">
      <c r="A699" s="5" t="s">
        <v>283</v>
      </c>
      <c r="B699" s="5" t="s">
        <v>438</v>
      </c>
      <c r="C699" s="99" t="s">
        <v>754</v>
      </c>
      <c r="D699" s="100"/>
      <c r="E699" s="100"/>
      <c r="F699" s="5" t="s">
        <v>988</v>
      </c>
      <c r="G699" s="63">
        <v>4</v>
      </c>
      <c r="H699" s="18">
        <v>0</v>
      </c>
      <c r="I699" s="18">
        <f>G699*AO699</f>
        <v>0</v>
      </c>
      <c r="J699" s="18">
        <f>G699*AP699</f>
        <v>0</v>
      </c>
      <c r="K699" s="18">
        <f>G699*H699</f>
        <v>0</v>
      </c>
      <c r="L699" s="29"/>
      <c r="Z699" s="34">
        <f>IF(AQ699="5",BJ699,0)</f>
        <v>0</v>
      </c>
      <c r="AB699" s="34">
        <f>IF(AQ699="1",BH699,0)</f>
        <v>0</v>
      </c>
      <c r="AC699" s="34">
        <f>IF(AQ699="1",BI699,0)</f>
        <v>0</v>
      </c>
      <c r="AD699" s="34">
        <f>IF(AQ699="7",BH699,0)</f>
        <v>0</v>
      </c>
      <c r="AE699" s="34">
        <f>IF(AQ699="7",BI699,0)</f>
        <v>0</v>
      </c>
      <c r="AF699" s="34">
        <f>IF(AQ699="2",BH699,0)</f>
        <v>0</v>
      </c>
      <c r="AG699" s="34">
        <f>IF(AQ699="2",BI699,0)</f>
        <v>0</v>
      </c>
      <c r="AH699" s="34">
        <f>IF(AQ699="0",BJ699,0)</f>
        <v>0</v>
      </c>
      <c r="AI699" s="28" t="s">
        <v>1021</v>
      </c>
      <c r="AJ699" s="18">
        <f>IF(AN699=0,K699,0)</f>
        <v>0</v>
      </c>
      <c r="AK699" s="18">
        <f>IF(AN699=15,K699,0)</f>
        <v>0</v>
      </c>
      <c r="AL699" s="18">
        <f>IF(AN699=21,K699,0)</f>
        <v>0</v>
      </c>
      <c r="AN699" s="34">
        <v>21</v>
      </c>
      <c r="AO699" s="34">
        <f>H699*0.201720430107527</f>
        <v>0</v>
      </c>
      <c r="AP699" s="34">
        <f>H699*(1-0.201720430107527)</f>
        <v>0</v>
      </c>
      <c r="AQ699" s="29" t="s">
        <v>7</v>
      </c>
      <c r="AV699" s="34">
        <f>AW699+AX699</f>
        <v>0</v>
      </c>
      <c r="AW699" s="34">
        <f>G699*AO699</f>
        <v>0</v>
      </c>
      <c r="AX699" s="34">
        <f>G699*AP699</f>
        <v>0</v>
      </c>
      <c r="AY699" s="35" t="s">
        <v>1049</v>
      </c>
      <c r="AZ699" s="35" t="s">
        <v>1081</v>
      </c>
      <c r="BA699" s="28" t="s">
        <v>1086</v>
      </c>
      <c r="BC699" s="34">
        <f>AW699+AX699</f>
        <v>0</v>
      </c>
      <c r="BD699" s="34">
        <f>H699/(100-BE699)*100</f>
        <v>0</v>
      </c>
      <c r="BE699" s="34">
        <v>0</v>
      </c>
      <c r="BF699" s="34">
        <f>699</f>
        <v>699</v>
      </c>
      <c r="BH699" s="18">
        <f>G699*AO699</f>
        <v>0</v>
      </c>
      <c r="BI699" s="18">
        <f>G699*AP699</f>
        <v>0</v>
      </c>
      <c r="BJ699" s="18">
        <f>G699*H699</f>
        <v>0</v>
      </c>
    </row>
    <row r="700" spans="3:7" ht="12.75">
      <c r="C700" s="101" t="s">
        <v>9</v>
      </c>
      <c r="D700" s="102"/>
      <c r="E700" s="102"/>
      <c r="G700" s="64">
        <v>4</v>
      </c>
    </row>
    <row r="701" spans="1:62" ht="12.75">
      <c r="A701" s="5" t="s">
        <v>284</v>
      </c>
      <c r="B701" s="5" t="s">
        <v>439</v>
      </c>
      <c r="C701" s="99" t="s">
        <v>755</v>
      </c>
      <c r="D701" s="100"/>
      <c r="E701" s="100"/>
      <c r="F701" s="5" t="s">
        <v>988</v>
      </c>
      <c r="G701" s="63">
        <v>35</v>
      </c>
      <c r="H701" s="18">
        <v>0</v>
      </c>
      <c r="I701" s="18">
        <f>G701*AO701</f>
        <v>0</v>
      </c>
      <c r="J701" s="18">
        <f>G701*AP701</f>
        <v>0</v>
      </c>
      <c r="K701" s="18">
        <f>G701*H701</f>
        <v>0</v>
      </c>
      <c r="L701" s="29"/>
      <c r="Z701" s="34">
        <f>IF(AQ701="5",BJ701,0)</f>
        <v>0</v>
      </c>
      <c r="AB701" s="34">
        <f>IF(AQ701="1",BH701,0)</f>
        <v>0</v>
      </c>
      <c r="AC701" s="34">
        <f>IF(AQ701="1",BI701,0)</f>
        <v>0</v>
      </c>
      <c r="AD701" s="34">
        <f>IF(AQ701="7",BH701,0)</f>
        <v>0</v>
      </c>
      <c r="AE701" s="34">
        <f>IF(AQ701="7",BI701,0)</f>
        <v>0</v>
      </c>
      <c r="AF701" s="34">
        <f>IF(AQ701="2",BH701,0)</f>
        <v>0</v>
      </c>
      <c r="AG701" s="34">
        <f>IF(AQ701="2",BI701,0)</f>
        <v>0</v>
      </c>
      <c r="AH701" s="34">
        <f>IF(AQ701="0",BJ701,0)</f>
        <v>0</v>
      </c>
      <c r="AI701" s="28" t="s">
        <v>1021</v>
      </c>
      <c r="AJ701" s="18">
        <f>IF(AN701=0,K701,0)</f>
        <v>0</v>
      </c>
      <c r="AK701" s="18">
        <f>IF(AN701=15,K701,0)</f>
        <v>0</v>
      </c>
      <c r="AL701" s="18">
        <f>IF(AN701=21,K701,0)</f>
        <v>0</v>
      </c>
      <c r="AN701" s="34">
        <v>21</v>
      </c>
      <c r="AO701" s="34">
        <f>H701*0.0767634854771784</f>
        <v>0</v>
      </c>
      <c r="AP701" s="34">
        <f>H701*(1-0.0767634854771784)</f>
        <v>0</v>
      </c>
      <c r="AQ701" s="29" t="s">
        <v>7</v>
      </c>
      <c r="AV701" s="34">
        <f>AW701+AX701</f>
        <v>0</v>
      </c>
      <c r="AW701" s="34">
        <f>G701*AO701</f>
        <v>0</v>
      </c>
      <c r="AX701" s="34">
        <f>G701*AP701</f>
        <v>0</v>
      </c>
      <c r="AY701" s="35" t="s">
        <v>1049</v>
      </c>
      <c r="AZ701" s="35" t="s">
        <v>1081</v>
      </c>
      <c r="BA701" s="28" t="s">
        <v>1086</v>
      </c>
      <c r="BC701" s="34">
        <f>AW701+AX701</f>
        <v>0</v>
      </c>
      <c r="BD701" s="34">
        <f>H701/(100-BE701)*100</f>
        <v>0</v>
      </c>
      <c r="BE701" s="34">
        <v>0</v>
      </c>
      <c r="BF701" s="34">
        <f>701</f>
        <v>701</v>
      </c>
      <c r="BH701" s="18">
        <f>G701*AO701</f>
        <v>0</v>
      </c>
      <c r="BI701" s="18">
        <f>G701*AP701</f>
        <v>0</v>
      </c>
      <c r="BJ701" s="18">
        <f>G701*H701</f>
        <v>0</v>
      </c>
    </row>
    <row r="702" spans="3:7" ht="12.75">
      <c r="C702" s="101" t="s">
        <v>40</v>
      </c>
      <c r="D702" s="102"/>
      <c r="E702" s="102"/>
      <c r="G702" s="64">
        <v>35</v>
      </c>
    </row>
    <row r="703" spans="1:62" ht="12.75">
      <c r="A703" s="5" t="s">
        <v>285</v>
      </c>
      <c r="B703" s="5" t="s">
        <v>440</v>
      </c>
      <c r="C703" s="99" t="s">
        <v>756</v>
      </c>
      <c r="D703" s="100"/>
      <c r="E703" s="100"/>
      <c r="F703" s="5" t="s">
        <v>988</v>
      </c>
      <c r="G703" s="63">
        <v>4</v>
      </c>
      <c r="H703" s="18">
        <v>0</v>
      </c>
      <c r="I703" s="18">
        <f>G703*AO703</f>
        <v>0</v>
      </c>
      <c r="J703" s="18">
        <f>G703*AP703</f>
        <v>0</v>
      </c>
      <c r="K703" s="18">
        <f>G703*H703</f>
        <v>0</v>
      </c>
      <c r="L703" s="29"/>
      <c r="Z703" s="34">
        <f>IF(AQ703="5",BJ703,0)</f>
        <v>0</v>
      </c>
      <c r="AB703" s="34">
        <f>IF(AQ703="1",BH703,0)</f>
        <v>0</v>
      </c>
      <c r="AC703" s="34">
        <f>IF(AQ703="1",BI703,0)</f>
        <v>0</v>
      </c>
      <c r="AD703" s="34">
        <f>IF(AQ703="7",BH703,0)</f>
        <v>0</v>
      </c>
      <c r="AE703" s="34">
        <f>IF(AQ703="7",BI703,0)</f>
        <v>0</v>
      </c>
      <c r="AF703" s="34">
        <f>IF(AQ703="2",BH703,0)</f>
        <v>0</v>
      </c>
      <c r="AG703" s="34">
        <f>IF(AQ703="2",BI703,0)</f>
        <v>0</v>
      </c>
      <c r="AH703" s="34">
        <f>IF(AQ703="0",BJ703,0)</f>
        <v>0</v>
      </c>
      <c r="AI703" s="28" t="s">
        <v>1021</v>
      </c>
      <c r="AJ703" s="18">
        <f>IF(AN703=0,K703,0)</f>
        <v>0</v>
      </c>
      <c r="AK703" s="18">
        <f>IF(AN703=15,K703,0)</f>
        <v>0</v>
      </c>
      <c r="AL703" s="18">
        <f>IF(AN703=21,K703,0)</f>
        <v>0</v>
      </c>
      <c r="AN703" s="34">
        <v>21</v>
      </c>
      <c r="AO703" s="34">
        <f>H703*0.274983713355049</f>
        <v>0</v>
      </c>
      <c r="AP703" s="34">
        <f>H703*(1-0.274983713355049)</f>
        <v>0</v>
      </c>
      <c r="AQ703" s="29" t="s">
        <v>7</v>
      </c>
      <c r="AV703" s="34">
        <f>AW703+AX703</f>
        <v>0</v>
      </c>
      <c r="AW703" s="34">
        <f>G703*AO703</f>
        <v>0</v>
      </c>
      <c r="AX703" s="34">
        <f>G703*AP703</f>
        <v>0</v>
      </c>
      <c r="AY703" s="35" t="s">
        <v>1049</v>
      </c>
      <c r="AZ703" s="35" t="s">
        <v>1081</v>
      </c>
      <c r="BA703" s="28" t="s">
        <v>1086</v>
      </c>
      <c r="BC703" s="34">
        <f>AW703+AX703</f>
        <v>0</v>
      </c>
      <c r="BD703" s="34">
        <f>H703/(100-BE703)*100</f>
        <v>0</v>
      </c>
      <c r="BE703" s="34">
        <v>0</v>
      </c>
      <c r="BF703" s="34">
        <f>703</f>
        <v>703</v>
      </c>
      <c r="BH703" s="18">
        <f>G703*AO703</f>
        <v>0</v>
      </c>
      <c r="BI703" s="18">
        <f>G703*AP703</f>
        <v>0</v>
      </c>
      <c r="BJ703" s="18">
        <f>G703*H703</f>
        <v>0</v>
      </c>
    </row>
    <row r="704" spans="3:7" ht="12.75">
      <c r="C704" s="101" t="s">
        <v>9</v>
      </c>
      <c r="D704" s="102"/>
      <c r="E704" s="102"/>
      <c r="G704" s="64">
        <v>4</v>
      </c>
    </row>
    <row r="705" spans="1:62" ht="12.75">
      <c r="A705" s="5" t="s">
        <v>286</v>
      </c>
      <c r="B705" s="5" t="s">
        <v>441</v>
      </c>
      <c r="C705" s="99" t="s">
        <v>757</v>
      </c>
      <c r="D705" s="100"/>
      <c r="E705" s="100"/>
      <c r="F705" s="5" t="s">
        <v>988</v>
      </c>
      <c r="G705" s="63">
        <v>20</v>
      </c>
      <c r="H705" s="18">
        <v>0</v>
      </c>
      <c r="I705" s="18">
        <f>G705*AO705</f>
        <v>0</v>
      </c>
      <c r="J705" s="18">
        <f>G705*AP705</f>
        <v>0</v>
      </c>
      <c r="K705" s="18">
        <f>G705*H705</f>
        <v>0</v>
      </c>
      <c r="L705" s="29"/>
      <c r="Z705" s="34">
        <f>IF(AQ705="5",BJ705,0)</f>
        <v>0</v>
      </c>
      <c r="AB705" s="34">
        <f>IF(AQ705="1",BH705,0)</f>
        <v>0</v>
      </c>
      <c r="AC705" s="34">
        <f>IF(AQ705="1",BI705,0)</f>
        <v>0</v>
      </c>
      <c r="AD705" s="34">
        <f>IF(AQ705="7",BH705,0)</f>
        <v>0</v>
      </c>
      <c r="AE705" s="34">
        <f>IF(AQ705="7",BI705,0)</f>
        <v>0</v>
      </c>
      <c r="AF705" s="34">
        <f>IF(AQ705="2",BH705,0)</f>
        <v>0</v>
      </c>
      <c r="AG705" s="34">
        <f>IF(AQ705="2",BI705,0)</f>
        <v>0</v>
      </c>
      <c r="AH705" s="34">
        <f>IF(AQ705="0",BJ705,0)</f>
        <v>0</v>
      </c>
      <c r="AI705" s="28" t="s">
        <v>1021</v>
      </c>
      <c r="AJ705" s="18">
        <f>IF(AN705=0,K705,0)</f>
        <v>0</v>
      </c>
      <c r="AK705" s="18">
        <f>IF(AN705=15,K705,0)</f>
        <v>0</v>
      </c>
      <c r="AL705" s="18">
        <f>IF(AN705=21,K705,0)</f>
        <v>0</v>
      </c>
      <c r="AN705" s="34">
        <v>21</v>
      </c>
      <c r="AO705" s="34">
        <f>H705*0.105236768802228</f>
        <v>0</v>
      </c>
      <c r="AP705" s="34">
        <f>H705*(1-0.105236768802228)</f>
        <v>0</v>
      </c>
      <c r="AQ705" s="29" t="s">
        <v>7</v>
      </c>
      <c r="AV705" s="34">
        <f>AW705+AX705</f>
        <v>0</v>
      </c>
      <c r="AW705" s="34">
        <f>G705*AO705</f>
        <v>0</v>
      </c>
      <c r="AX705" s="34">
        <f>G705*AP705</f>
        <v>0</v>
      </c>
      <c r="AY705" s="35" t="s">
        <v>1049</v>
      </c>
      <c r="AZ705" s="35" t="s">
        <v>1081</v>
      </c>
      <c r="BA705" s="28" t="s">
        <v>1086</v>
      </c>
      <c r="BC705" s="34">
        <f>AW705+AX705</f>
        <v>0</v>
      </c>
      <c r="BD705" s="34">
        <f>H705/(100-BE705)*100</f>
        <v>0</v>
      </c>
      <c r="BE705" s="34">
        <v>0</v>
      </c>
      <c r="BF705" s="34">
        <f>705</f>
        <v>705</v>
      </c>
      <c r="BH705" s="18">
        <f>G705*AO705</f>
        <v>0</v>
      </c>
      <c r="BI705" s="18">
        <f>G705*AP705</f>
        <v>0</v>
      </c>
      <c r="BJ705" s="18">
        <f>G705*H705</f>
        <v>0</v>
      </c>
    </row>
    <row r="706" spans="3:7" ht="12.75">
      <c r="C706" s="101" t="s">
        <v>25</v>
      </c>
      <c r="D706" s="102"/>
      <c r="E706" s="102"/>
      <c r="G706" s="64">
        <v>20</v>
      </c>
    </row>
    <row r="707" spans="1:62" ht="12.75">
      <c r="A707" s="5" t="s">
        <v>287</v>
      </c>
      <c r="B707" s="5" t="s">
        <v>442</v>
      </c>
      <c r="C707" s="99" t="s">
        <v>758</v>
      </c>
      <c r="D707" s="100"/>
      <c r="E707" s="100"/>
      <c r="F707" s="5" t="s">
        <v>988</v>
      </c>
      <c r="G707" s="63">
        <v>2</v>
      </c>
      <c r="H707" s="18">
        <v>0</v>
      </c>
      <c r="I707" s="18">
        <f>G707*AO707</f>
        <v>0</v>
      </c>
      <c r="J707" s="18">
        <f>G707*AP707</f>
        <v>0</v>
      </c>
      <c r="K707" s="18">
        <f>G707*H707</f>
        <v>0</v>
      </c>
      <c r="L707" s="29"/>
      <c r="Z707" s="34">
        <f>IF(AQ707="5",BJ707,0)</f>
        <v>0</v>
      </c>
      <c r="AB707" s="34">
        <f>IF(AQ707="1",BH707,0)</f>
        <v>0</v>
      </c>
      <c r="AC707" s="34">
        <f>IF(AQ707="1",BI707,0)</f>
        <v>0</v>
      </c>
      <c r="AD707" s="34">
        <f>IF(AQ707="7",BH707,0)</f>
        <v>0</v>
      </c>
      <c r="AE707" s="34">
        <f>IF(AQ707="7",BI707,0)</f>
        <v>0</v>
      </c>
      <c r="AF707" s="34">
        <f>IF(AQ707="2",BH707,0)</f>
        <v>0</v>
      </c>
      <c r="AG707" s="34">
        <f>IF(AQ707="2",BI707,0)</f>
        <v>0</v>
      </c>
      <c r="AH707" s="34">
        <f>IF(AQ707="0",BJ707,0)</f>
        <v>0</v>
      </c>
      <c r="AI707" s="28" t="s">
        <v>1021</v>
      </c>
      <c r="AJ707" s="18">
        <f>IF(AN707=0,K707,0)</f>
        <v>0</v>
      </c>
      <c r="AK707" s="18">
        <f>IF(AN707=15,K707,0)</f>
        <v>0</v>
      </c>
      <c r="AL707" s="18">
        <f>IF(AN707=21,K707,0)</f>
        <v>0</v>
      </c>
      <c r="AN707" s="34">
        <v>21</v>
      </c>
      <c r="AO707" s="34">
        <f>H707*0.113259668508287</f>
        <v>0</v>
      </c>
      <c r="AP707" s="34">
        <f>H707*(1-0.113259668508287)</f>
        <v>0</v>
      </c>
      <c r="AQ707" s="29" t="s">
        <v>7</v>
      </c>
      <c r="AV707" s="34">
        <f>AW707+AX707</f>
        <v>0</v>
      </c>
      <c r="AW707" s="34">
        <f>G707*AO707</f>
        <v>0</v>
      </c>
      <c r="AX707" s="34">
        <f>G707*AP707</f>
        <v>0</v>
      </c>
      <c r="AY707" s="35" t="s">
        <v>1049</v>
      </c>
      <c r="AZ707" s="35" t="s">
        <v>1081</v>
      </c>
      <c r="BA707" s="28" t="s">
        <v>1086</v>
      </c>
      <c r="BC707" s="34">
        <f>AW707+AX707</f>
        <v>0</v>
      </c>
      <c r="BD707" s="34">
        <f>H707/(100-BE707)*100</f>
        <v>0</v>
      </c>
      <c r="BE707" s="34">
        <v>0</v>
      </c>
      <c r="BF707" s="34">
        <f>707</f>
        <v>707</v>
      </c>
      <c r="BH707" s="18">
        <f>G707*AO707</f>
        <v>0</v>
      </c>
      <c r="BI707" s="18">
        <f>G707*AP707</f>
        <v>0</v>
      </c>
      <c r="BJ707" s="18">
        <f>G707*H707</f>
        <v>0</v>
      </c>
    </row>
    <row r="708" spans="3:7" ht="12.75">
      <c r="C708" s="101" t="s">
        <v>7</v>
      </c>
      <c r="D708" s="102"/>
      <c r="E708" s="102"/>
      <c r="G708" s="64">
        <v>2</v>
      </c>
    </row>
    <row r="709" spans="1:62" ht="12.75">
      <c r="A709" s="5" t="s">
        <v>288</v>
      </c>
      <c r="B709" s="5" t="s">
        <v>443</v>
      </c>
      <c r="C709" s="99" t="s">
        <v>759</v>
      </c>
      <c r="D709" s="100"/>
      <c r="E709" s="100"/>
      <c r="F709" s="5" t="s">
        <v>988</v>
      </c>
      <c r="G709" s="63">
        <v>10</v>
      </c>
      <c r="H709" s="18">
        <v>0</v>
      </c>
      <c r="I709" s="18">
        <f>G709*AO709</f>
        <v>0</v>
      </c>
      <c r="J709" s="18">
        <f>G709*AP709</f>
        <v>0</v>
      </c>
      <c r="K709" s="18">
        <f>G709*H709</f>
        <v>0</v>
      </c>
      <c r="L709" s="29"/>
      <c r="Z709" s="34">
        <f>IF(AQ709="5",BJ709,0)</f>
        <v>0</v>
      </c>
      <c r="AB709" s="34">
        <f>IF(AQ709="1",BH709,0)</f>
        <v>0</v>
      </c>
      <c r="AC709" s="34">
        <f>IF(AQ709="1",BI709,0)</f>
        <v>0</v>
      </c>
      <c r="AD709" s="34">
        <f>IF(AQ709="7",BH709,0)</f>
        <v>0</v>
      </c>
      <c r="AE709" s="34">
        <f>IF(AQ709="7",BI709,0)</f>
        <v>0</v>
      </c>
      <c r="AF709" s="34">
        <f>IF(AQ709="2",BH709,0)</f>
        <v>0</v>
      </c>
      <c r="AG709" s="34">
        <f>IF(AQ709="2",BI709,0)</f>
        <v>0</v>
      </c>
      <c r="AH709" s="34">
        <f>IF(AQ709="0",BJ709,0)</f>
        <v>0</v>
      </c>
      <c r="AI709" s="28" t="s">
        <v>1021</v>
      </c>
      <c r="AJ709" s="18">
        <f>IF(AN709=0,K709,0)</f>
        <v>0</v>
      </c>
      <c r="AK709" s="18">
        <f>IF(AN709=15,K709,0)</f>
        <v>0</v>
      </c>
      <c r="AL709" s="18">
        <f>IF(AN709=21,K709,0)</f>
        <v>0</v>
      </c>
      <c r="AN709" s="34">
        <v>21</v>
      </c>
      <c r="AO709" s="34">
        <f>H709*0.0910188679245283</f>
        <v>0</v>
      </c>
      <c r="AP709" s="34">
        <f>H709*(1-0.0910188679245283)</f>
        <v>0</v>
      </c>
      <c r="AQ709" s="29" t="s">
        <v>7</v>
      </c>
      <c r="AV709" s="34">
        <f>AW709+AX709</f>
        <v>0</v>
      </c>
      <c r="AW709" s="34">
        <f>G709*AO709</f>
        <v>0</v>
      </c>
      <c r="AX709" s="34">
        <f>G709*AP709</f>
        <v>0</v>
      </c>
      <c r="AY709" s="35" t="s">
        <v>1049</v>
      </c>
      <c r="AZ709" s="35" t="s">
        <v>1081</v>
      </c>
      <c r="BA709" s="28" t="s">
        <v>1086</v>
      </c>
      <c r="BC709" s="34">
        <f>AW709+AX709</f>
        <v>0</v>
      </c>
      <c r="BD709" s="34">
        <f>H709/(100-BE709)*100</f>
        <v>0</v>
      </c>
      <c r="BE709" s="34">
        <v>0</v>
      </c>
      <c r="BF709" s="34">
        <f>709</f>
        <v>709</v>
      </c>
      <c r="BH709" s="18">
        <f>G709*AO709</f>
        <v>0</v>
      </c>
      <c r="BI709" s="18">
        <f>G709*AP709</f>
        <v>0</v>
      </c>
      <c r="BJ709" s="18">
        <f>G709*H709</f>
        <v>0</v>
      </c>
    </row>
    <row r="710" spans="3:7" ht="12.75">
      <c r="C710" s="101" t="s">
        <v>15</v>
      </c>
      <c r="D710" s="102"/>
      <c r="E710" s="102"/>
      <c r="G710" s="64">
        <v>10</v>
      </c>
    </row>
    <row r="711" spans="1:62" ht="12.75">
      <c r="A711" s="5" t="s">
        <v>289</v>
      </c>
      <c r="B711" s="5" t="s">
        <v>446</v>
      </c>
      <c r="C711" s="99" t="s">
        <v>762</v>
      </c>
      <c r="D711" s="100"/>
      <c r="E711" s="100"/>
      <c r="F711" s="5" t="s">
        <v>986</v>
      </c>
      <c r="G711" s="63">
        <v>7.2</v>
      </c>
      <c r="H711" s="18">
        <v>0</v>
      </c>
      <c r="I711" s="18">
        <f>G711*AO711</f>
        <v>0</v>
      </c>
      <c r="J711" s="18">
        <f>G711*AP711</f>
        <v>0</v>
      </c>
      <c r="K711" s="18">
        <f>G711*H711</f>
        <v>0</v>
      </c>
      <c r="L711" s="29"/>
      <c r="Z711" s="34">
        <f>IF(AQ711="5",BJ711,0)</f>
        <v>0</v>
      </c>
      <c r="AB711" s="34">
        <f>IF(AQ711="1",BH711,0)</f>
        <v>0</v>
      </c>
      <c r="AC711" s="34">
        <f>IF(AQ711="1",BI711,0)</f>
        <v>0</v>
      </c>
      <c r="AD711" s="34">
        <f>IF(AQ711="7",BH711,0)</f>
        <v>0</v>
      </c>
      <c r="AE711" s="34">
        <f>IF(AQ711="7",BI711,0)</f>
        <v>0</v>
      </c>
      <c r="AF711" s="34">
        <f>IF(AQ711="2",BH711,0)</f>
        <v>0</v>
      </c>
      <c r="AG711" s="34">
        <f>IF(AQ711="2",BI711,0)</f>
        <v>0</v>
      </c>
      <c r="AH711" s="34">
        <f>IF(AQ711="0",BJ711,0)</f>
        <v>0</v>
      </c>
      <c r="AI711" s="28" t="s">
        <v>1021</v>
      </c>
      <c r="AJ711" s="18">
        <f>IF(AN711=0,K711,0)</f>
        <v>0</v>
      </c>
      <c r="AK711" s="18">
        <f>IF(AN711=15,K711,0)</f>
        <v>0</v>
      </c>
      <c r="AL711" s="18">
        <f>IF(AN711=21,K711,0)</f>
        <v>0</v>
      </c>
      <c r="AN711" s="34">
        <v>21</v>
      </c>
      <c r="AO711" s="34">
        <f>H711*0.192817679558011</f>
        <v>0</v>
      </c>
      <c r="AP711" s="34">
        <f>H711*(1-0.192817679558011)</f>
        <v>0</v>
      </c>
      <c r="AQ711" s="29" t="s">
        <v>7</v>
      </c>
      <c r="AV711" s="34">
        <f>AW711+AX711</f>
        <v>0</v>
      </c>
      <c r="AW711" s="34">
        <f>G711*AO711</f>
        <v>0</v>
      </c>
      <c r="AX711" s="34">
        <f>G711*AP711</f>
        <v>0</v>
      </c>
      <c r="AY711" s="35" t="s">
        <v>1049</v>
      </c>
      <c r="AZ711" s="35" t="s">
        <v>1081</v>
      </c>
      <c r="BA711" s="28" t="s">
        <v>1086</v>
      </c>
      <c r="BC711" s="34">
        <f>AW711+AX711</f>
        <v>0</v>
      </c>
      <c r="BD711" s="34">
        <f>H711/(100-BE711)*100</f>
        <v>0</v>
      </c>
      <c r="BE711" s="34">
        <v>0</v>
      </c>
      <c r="BF711" s="34">
        <f>711</f>
        <v>711</v>
      </c>
      <c r="BH711" s="18">
        <f>G711*AO711</f>
        <v>0</v>
      </c>
      <c r="BI711" s="18">
        <f>G711*AP711</f>
        <v>0</v>
      </c>
      <c r="BJ711" s="18">
        <f>G711*H711</f>
        <v>0</v>
      </c>
    </row>
    <row r="712" spans="3:7" ht="12.75">
      <c r="C712" s="101" t="s">
        <v>938</v>
      </c>
      <c r="D712" s="102"/>
      <c r="E712" s="102"/>
      <c r="G712" s="64">
        <v>7.2</v>
      </c>
    </row>
    <row r="713" spans="1:62" ht="12.75">
      <c r="A713" s="5" t="s">
        <v>290</v>
      </c>
      <c r="B713" s="5" t="s">
        <v>447</v>
      </c>
      <c r="C713" s="99" t="s">
        <v>764</v>
      </c>
      <c r="D713" s="100"/>
      <c r="E713" s="100"/>
      <c r="F713" s="5" t="s">
        <v>988</v>
      </c>
      <c r="G713" s="63">
        <v>1</v>
      </c>
      <c r="H713" s="18">
        <v>0</v>
      </c>
      <c r="I713" s="18">
        <f>G713*AO713</f>
        <v>0</v>
      </c>
      <c r="J713" s="18">
        <f>G713*AP713</f>
        <v>0</v>
      </c>
      <c r="K713" s="18">
        <f>G713*H713</f>
        <v>0</v>
      </c>
      <c r="L713" s="29"/>
      <c r="Z713" s="34">
        <f>IF(AQ713="5",BJ713,0)</f>
        <v>0</v>
      </c>
      <c r="AB713" s="34">
        <f>IF(AQ713="1",BH713,0)</f>
        <v>0</v>
      </c>
      <c r="AC713" s="34">
        <f>IF(AQ713="1",BI713,0)</f>
        <v>0</v>
      </c>
      <c r="AD713" s="34">
        <f>IF(AQ713="7",BH713,0)</f>
        <v>0</v>
      </c>
      <c r="AE713" s="34">
        <f>IF(AQ713="7",BI713,0)</f>
        <v>0</v>
      </c>
      <c r="AF713" s="34">
        <f>IF(AQ713="2",BH713,0)</f>
        <v>0</v>
      </c>
      <c r="AG713" s="34">
        <f>IF(AQ713="2",BI713,0)</f>
        <v>0</v>
      </c>
      <c r="AH713" s="34">
        <f>IF(AQ713="0",BJ713,0)</f>
        <v>0</v>
      </c>
      <c r="AI713" s="28" t="s">
        <v>1021</v>
      </c>
      <c r="AJ713" s="18">
        <f>IF(AN713=0,K713,0)</f>
        <v>0</v>
      </c>
      <c r="AK713" s="18">
        <f>IF(AN713=15,K713,0)</f>
        <v>0</v>
      </c>
      <c r="AL713" s="18">
        <f>IF(AN713=21,K713,0)</f>
        <v>0</v>
      </c>
      <c r="AN713" s="34">
        <v>21</v>
      </c>
      <c r="AO713" s="34">
        <f>H713*0</f>
        <v>0</v>
      </c>
      <c r="AP713" s="34">
        <f>H713*(1-0)</f>
        <v>0</v>
      </c>
      <c r="AQ713" s="29" t="s">
        <v>6</v>
      </c>
      <c r="AV713" s="34">
        <f>AW713+AX713</f>
        <v>0</v>
      </c>
      <c r="AW713" s="34">
        <f>G713*AO713</f>
        <v>0</v>
      </c>
      <c r="AX713" s="34">
        <f>G713*AP713</f>
        <v>0</v>
      </c>
      <c r="AY713" s="35" t="s">
        <v>1049</v>
      </c>
      <c r="AZ713" s="35" t="s">
        <v>1081</v>
      </c>
      <c r="BA713" s="28" t="s">
        <v>1086</v>
      </c>
      <c r="BC713" s="34">
        <f>AW713+AX713</f>
        <v>0</v>
      </c>
      <c r="BD713" s="34">
        <f>H713/(100-BE713)*100</f>
        <v>0</v>
      </c>
      <c r="BE713" s="34">
        <v>0</v>
      </c>
      <c r="BF713" s="34">
        <f>713</f>
        <v>713</v>
      </c>
      <c r="BH713" s="18">
        <f>G713*AO713</f>
        <v>0</v>
      </c>
      <c r="BI713" s="18">
        <f>G713*AP713</f>
        <v>0</v>
      </c>
      <c r="BJ713" s="18">
        <f>G713*H713</f>
        <v>0</v>
      </c>
    </row>
    <row r="714" spans="3:7" ht="12.75">
      <c r="C714" s="101" t="s">
        <v>6</v>
      </c>
      <c r="D714" s="102"/>
      <c r="E714" s="102"/>
      <c r="G714" s="64">
        <v>1</v>
      </c>
    </row>
    <row r="715" spans="1:47" ht="12.75">
      <c r="A715" s="4"/>
      <c r="B715" s="14" t="s">
        <v>448</v>
      </c>
      <c r="C715" s="97" t="s">
        <v>765</v>
      </c>
      <c r="D715" s="98"/>
      <c r="E715" s="98"/>
      <c r="F715" s="4" t="s">
        <v>5</v>
      </c>
      <c r="G715" s="4" t="s">
        <v>5</v>
      </c>
      <c r="H715" s="4" t="s">
        <v>5</v>
      </c>
      <c r="I715" s="37">
        <f>SUM(I716:I728)</f>
        <v>0</v>
      </c>
      <c r="J715" s="37">
        <f>SUM(J716:J728)</f>
        <v>0</v>
      </c>
      <c r="K715" s="37">
        <f>SUM(K716:K728)</f>
        <v>0</v>
      </c>
      <c r="L715" s="28"/>
      <c r="AI715" s="28" t="s">
        <v>1021</v>
      </c>
      <c r="AS715" s="37">
        <f>SUM(AJ716:AJ728)</f>
        <v>0</v>
      </c>
      <c r="AT715" s="37">
        <f>SUM(AK716:AK728)</f>
        <v>0</v>
      </c>
      <c r="AU715" s="37">
        <f>SUM(AL716:AL728)</f>
        <v>0</v>
      </c>
    </row>
    <row r="716" spans="1:62" ht="12.75">
      <c r="A716" s="6" t="s">
        <v>291</v>
      </c>
      <c r="B716" s="6" t="s">
        <v>451</v>
      </c>
      <c r="C716" s="103" t="s">
        <v>768</v>
      </c>
      <c r="D716" s="104"/>
      <c r="E716" s="104"/>
      <c r="F716" s="6" t="s">
        <v>991</v>
      </c>
      <c r="G716" s="65">
        <v>1</v>
      </c>
      <c r="H716" s="19">
        <v>0</v>
      </c>
      <c r="I716" s="19">
        <f>G716*AO716</f>
        <v>0</v>
      </c>
      <c r="J716" s="19">
        <f>G716*AP716</f>
        <v>0</v>
      </c>
      <c r="K716" s="19">
        <f>G716*H716</f>
        <v>0</v>
      </c>
      <c r="L716" s="30"/>
      <c r="Z716" s="34">
        <f>IF(AQ716="5",BJ716,0)</f>
        <v>0</v>
      </c>
      <c r="AB716" s="34">
        <f>IF(AQ716="1",BH716,0)</f>
        <v>0</v>
      </c>
      <c r="AC716" s="34">
        <f>IF(AQ716="1",BI716,0)</f>
        <v>0</v>
      </c>
      <c r="AD716" s="34">
        <f>IF(AQ716="7",BH716,0)</f>
        <v>0</v>
      </c>
      <c r="AE716" s="34">
        <f>IF(AQ716="7",BI716,0)</f>
        <v>0</v>
      </c>
      <c r="AF716" s="34">
        <f>IF(AQ716="2",BH716,0)</f>
        <v>0</v>
      </c>
      <c r="AG716" s="34">
        <f>IF(AQ716="2",BI716,0)</f>
        <v>0</v>
      </c>
      <c r="AH716" s="34">
        <f>IF(AQ716="0",BJ716,0)</f>
        <v>0</v>
      </c>
      <c r="AI716" s="28" t="s">
        <v>1021</v>
      </c>
      <c r="AJ716" s="19">
        <f>IF(AN716=0,K716,0)</f>
        <v>0</v>
      </c>
      <c r="AK716" s="19">
        <f>IF(AN716=15,K716,0)</f>
        <v>0</v>
      </c>
      <c r="AL716" s="19">
        <f>IF(AN716=21,K716,0)</f>
        <v>0</v>
      </c>
      <c r="AN716" s="34">
        <v>21</v>
      </c>
      <c r="AO716" s="34">
        <f>H716*1</f>
        <v>0</v>
      </c>
      <c r="AP716" s="34">
        <f>H716*(1-1)</f>
        <v>0</v>
      </c>
      <c r="AQ716" s="30" t="s">
        <v>6</v>
      </c>
      <c r="AV716" s="34">
        <f>AW716+AX716</f>
        <v>0</v>
      </c>
      <c r="AW716" s="34">
        <f>G716*AO716</f>
        <v>0</v>
      </c>
      <c r="AX716" s="34">
        <f>G716*AP716</f>
        <v>0</v>
      </c>
      <c r="AY716" s="35" t="s">
        <v>1050</v>
      </c>
      <c r="AZ716" s="35" t="s">
        <v>1081</v>
      </c>
      <c r="BA716" s="28" t="s">
        <v>1086</v>
      </c>
      <c r="BC716" s="34">
        <f>AW716+AX716</f>
        <v>0</v>
      </c>
      <c r="BD716" s="34">
        <f>H716/(100-BE716)*100</f>
        <v>0</v>
      </c>
      <c r="BE716" s="34">
        <v>0</v>
      </c>
      <c r="BF716" s="34">
        <f>716</f>
        <v>716</v>
      </c>
      <c r="BH716" s="19">
        <f>G716*AO716</f>
        <v>0</v>
      </c>
      <c r="BI716" s="19">
        <f>G716*AP716</f>
        <v>0</v>
      </c>
      <c r="BJ716" s="19">
        <f>G716*H716</f>
        <v>0</v>
      </c>
    </row>
    <row r="717" spans="3:7" ht="12.75">
      <c r="C717" s="101" t="s">
        <v>6</v>
      </c>
      <c r="D717" s="102"/>
      <c r="E717" s="102"/>
      <c r="G717" s="64">
        <v>1</v>
      </c>
    </row>
    <row r="718" spans="1:62" ht="12.75">
      <c r="A718" s="5" t="s">
        <v>292</v>
      </c>
      <c r="B718" s="5" t="s">
        <v>449</v>
      </c>
      <c r="C718" s="99" t="s">
        <v>766</v>
      </c>
      <c r="D718" s="100"/>
      <c r="E718" s="100"/>
      <c r="F718" s="5" t="s">
        <v>989</v>
      </c>
      <c r="G718" s="63">
        <v>10</v>
      </c>
      <c r="H718" s="18">
        <v>0</v>
      </c>
      <c r="I718" s="18">
        <f>G718*AO718</f>
        <v>0</v>
      </c>
      <c r="J718" s="18">
        <f>G718*AP718</f>
        <v>0</v>
      </c>
      <c r="K718" s="18">
        <f>G718*H718</f>
        <v>0</v>
      </c>
      <c r="L718" s="29"/>
      <c r="Z718" s="34">
        <f>IF(AQ718="5",BJ718,0)</f>
        <v>0</v>
      </c>
      <c r="AB718" s="34">
        <f>IF(AQ718="1",BH718,0)</f>
        <v>0</v>
      </c>
      <c r="AC718" s="34">
        <f>IF(AQ718="1",BI718,0)</f>
        <v>0</v>
      </c>
      <c r="AD718" s="34">
        <f>IF(AQ718="7",BH718,0)</f>
        <v>0</v>
      </c>
      <c r="AE718" s="34">
        <f>IF(AQ718="7",BI718,0)</f>
        <v>0</v>
      </c>
      <c r="AF718" s="34">
        <f>IF(AQ718="2",BH718,0)</f>
        <v>0</v>
      </c>
      <c r="AG718" s="34">
        <f>IF(AQ718="2",BI718,0)</f>
        <v>0</v>
      </c>
      <c r="AH718" s="34">
        <f>IF(AQ718="0",BJ718,0)</f>
        <v>0</v>
      </c>
      <c r="AI718" s="28" t="s">
        <v>1021</v>
      </c>
      <c r="AJ718" s="18">
        <f>IF(AN718=0,K718,0)</f>
        <v>0</v>
      </c>
      <c r="AK718" s="18">
        <f>IF(AN718=15,K718,0)</f>
        <v>0</v>
      </c>
      <c r="AL718" s="18">
        <f>IF(AN718=21,K718,0)</f>
        <v>0</v>
      </c>
      <c r="AN718" s="34">
        <v>21</v>
      </c>
      <c r="AO718" s="34">
        <f>H718*0</f>
        <v>0</v>
      </c>
      <c r="AP718" s="34">
        <f>H718*(1-0)</f>
        <v>0</v>
      </c>
      <c r="AQ718" s="29" t="s">
        <v>7</v>
      </c>
      <c r="AV718" s="34">
        <f>AW718+AX718</f>
        <v>0</v>
      </c>
      <c r="AW718" s="34">
        <f>G718*AO718</f>
        <v>0</v>
      </c>
      <c r="AX718" s="34">
        <f>G718*AP718</f>
        <v>0</v>
      </c>
      <c r="AY718" s="35" t="s">
        <v>1050</v>
      </c>
      <c r="AZ718" s="35" t="s">
        <v>1081</v>
      </c>
      <c r="BA718" s="28" t="s">
        <v>1086</v>
      </c>
      <c r="BC718" s="34">
        <f>AW718+AX718</f>
        <v>0</v>
      </c>
      <c r="BD718" s="34">
        <f>H718/(100-BE718)*100</f>
        <v>0</v>
      </c>
      <c r="BE718" s="34">
        <v>0</v>
      </c>
      <c r="BF718" s="34">
        <f>718</f>
        <v>718</v>
      </c>
      <c r="BH718" s="18">
        <f>G718*AO718</f>
        <v>0</v>
      </c>
      <c r="BI718" s="18">
        <f>G718*AP718</f>
        <v>0</v>
      </c>
      <c r="BJ718" s="18">
        <f>G718*H718</f>
        <v>0</v>
      </c>
    </row>
    <row r="719" spans="3:7" ht="12.75">
      <c r="C719" s="101" t="s">
        <v>15</v>
      </c>
      <c r="D719" s="102"/>
      <c r="E719" s="102"/>
      <c r="G719" s="64">
        <v>10</v>
      </c>
    </row>
    <row r="720" spans="1:62" ht="12.75">
      <c r="A720" s="5" t="s">
        <v>293</v>
      </c>
      <c r="B720" s="5" t="s">
        <v>450</v>
      </c>
      <c r="C720" s="99" t="s">
        <v>767</v>
      </c>
      <c r="D720" s="100"/>
      <c r="E720" s="100"/>
      <c r="F720" s="5" t="s">
        <v>986</v>
      </c>
      <c r="G720" s="63">
        <v>7.2</v>
      </c>
      <c r="H720" s="18">
        <v>0</v>
      </c>
      <c r="I720" s="18">
        <f>G720*AO720</f>
        <v>0</v>
      </c>
      <c r="J720" s="18">
        <f>G720*AP720</f>
        <v>0</v>
      </c>
      <c r="K720" s="18">
        <f>G720*H720</f>
        <v>0</v>
      </c>
      <c r="L720" s="29"/>
      <c r="Z720" s="34">
        <f>IF(AQ720="5",BJ720,0)</f>
        <v>0</v>
      </c>
      <c r="AB720" s="34">
        <f>IF(AQ720="1",BH720,0)</f>
        <v>0</v>
      </c>
      <c r="AC720" s="34">
        <f>IF(AQ720="1",BI720,0)</f>
        <v>0</v>
      </c>
      <c r="AD720" s="34">
        <f>IF(AQ720="7",BH720,0)</f>
        <v>0</v>
      </c>
      <c r="AE720" s="34">
        <f>IF(AQ720="7",BI720,0)</f>
        <v>0</v>
      </c>
      <c r="AF720" s="34">
        <f>IF(AQ720="2",BH720,0)</f>
        <v>0</v>
      </c>
      <c r="AG720" s="34">
        <f>IF(AQ720="2",BI720,0)</f>
        <v>0</v>
      </c>
      <c r="AH720" s="34">
        <f>IF(AQ720="0",BJ720,0)</f>
        <v>0</v>
      </c>
      <c r="AI720" s="28" t="s">
        <v>1021</v>
      </c>
      <c r="AJ720" s="18">
        <f>IF(AN720=0,K720,0)</f>
        <v>0</v>
      </c>
      <c r="AK720" s="18">
        <f>IF(AN720=15,K720,0)</f>
        <v>0</v>
      </c>
      <c r="AL720" s="18">
        <f>IF(AN720=21,K720,0)</f>
        <v>0</v>
      </c>
      <c r="AN720" s="34">
        <v>21</v>
      </c>
      <c r="AO720" s="34">
        <f>H720*0</f>
        <v>0</v>
      </c>
      <c r="AP720" s="34">
        <f>H720*(1-0)</f>
        <v>0</v>
      </c>
      <c r="AQ720" s="29" t="s">
        <v>7</v>
      </c>
      <c r="AV720" s="34">
        <f>AW720+AX720</f>
        <v>0</v>
      </c>
      <c r="AW720" s="34">
        <f>G720*AO720</f>
        <v>0</v>
      </c>
      <c r="AX720" s="34">
        <f>G720*AP720</f>
        <v>0</v>
      </c>
      <c r="AY720" s="35" t="s">
        <v>1050</v>
      </c>
      <c r="AZ720" s="35" t="s">
        <v>1081</v>
      </c>
      <c r="BA720" s="28" t="s">
        <v>1086</v>
      </c>
      <c r="BC720" s="34">
        <f>AW720+AX720</f>
        <v>0</v>
      </c>
      <c r="BD720" s="34">
        <f>H720/(100-BE720)*100</f>
        <v>0</v>
      </c>
      <c r="BE720" s="34">
        <v>0</v>
      </c>
      <c r="BF720" s="34">
        <f>720</f>
        <v>720</v>
      </c>
      <c r="BH720" s="18">
        <f>G720*AO720</f>
        <v>0</v>
      </c>
      <c r="BI720" s="18">
        <f>G720*AP720</f>
        <v>0</v>
      </c>
      <c r="BJ720" s="18">
        <f>G720*H720</f>
        <v>0</v>
      </c>
    </row>
    <row r="721" spans="3:7" ht="12.75">
      <c r="C721" s="101" t="s">
        <v>938</v>
      </c>
      <c r="D721" s="102"/>
      <c r="E721" s="102"/>
      <c r="G721" s="64">
        <v>7.2</v>
      </c>
    </row>
    <row r="722" spans="1:62" ht="12.75">
      <c r="A722" s="5" t="s">
        <v>294</v>
      </c>
      <c r="B722" s="5" t="s">
        <v>505</v>
      </c>
      <c r="C722" s="99" t="s">
        <v>939</v>
      </c>
      <c r="D722" s="100"/>
      <c r="E722" s="100"/>
      <c r="F722" s="5" t="s">
        <v>988</v>
      </c>
      <c r="G722" s="63">
        <v>1</v>
      </c>
      <c r="H722" s="18">
        <v>0</v>
      </c>
      <c r="I722" s="18">
        <f>G722*AO722</f>
        <v>0</v>
      </c>
      <c r="J722" s="18">
        <f>G722*AP722</f>
        <v>0</v>
      </c>
      <c r="K722" s="18">
        <f>G722*H722</f>
        <v>0</v>
      </c>
      <c r="L722" s="29"/>
      <c r="Z722" s="34">
        <f>IF(AQ722="5",BJ722,0)</f>
        <v>0</v>
      </c>
      <c r="AB722" s="34">
        <f>IF(AQ722="1",BH722,0)</f>
        <v>0</v>
      </c>
      <c r="AC722" s="34">
        <f>IF(AQ722="1",BI722,0)</f>
        <v>0</v>
      </c>
      <c r="AD722" s="34">
        <f>IF(AQ722="7",BH722,0)</f>
        <v>0</v>
      </c>
      <c r="AE722" s="34">
        <f>IF(AQ722="7",BI722,0)</f>
        <v>0</v>
      </c>
      <c r="AF722" s="34">
        <f>IF(AQ722="2",BH722,0)</f>
        <v>0</v>
      </c>
      <c r="AG722" s="34">
        <f>IF(AQ722="2",BI722,0)</f>
        <v>0</v>
      </c>
      <c r="AH722" s="34">
        <f>IF(AQ722="0",BJ722,0)</f>
        <v>0</v>
      </c>
      <c r="AI722" s="28" t="s">
        <v>1021</v>
      </c>
      <c r="AJ722" s="18">
        <f>IF(AN722=0,K722,0)</f>
        <v>0</v>
      </c>
      <c r="AK722" s="18">
        <f>IF(AN722=15,K722,0)</f>
        <v>0</v>
      </c>
      <c r="AL722" s="18">
        <f>IF(AN722=21,K722,0)</f>
        <v>0</v>
      </c>
      <c r="AN722" s="34">
        <v>21</v>
      </c>
      <c r="AO722" s="34">
        <f>H722*0.00782915363290522</f>
        <v>0</v>
      </c>
      <c r="AP722" s="34">
        <f>H722*(1-0.00782915363290522)</f>
        <v>0</v>
      </c>
      <c r="AQ722" s="29" t="s">
        <v>7</v>
      </c>
      <c r="AV722" s="34">
        <f>AW722+AX722</f>
        <v>0</v>
      </c>
      <c r="AW722" s="34">
        <f>G722*AO722</f>
        <v>0</v>
      </c>
      <c r="AX722" s="34">
        <f>G722*AP722</f>
        <v>0</v>
      </c>
      <c r="AY722" s="35" t="s">
        <v>1050</v>
      </c>
      <c r="AZ722" s="35" t="s">
        <v>1081</v>
      </c>
      <c r="BA722" s="28" t="s">
        <v>1086</v>
      </c>
      <c r="BC722" s="34">
        <f>AW722+AX722</f>
        <v>0</v>
      </c>
      <c r="BD722" s="34">
        <f>H722/(100-BE722)*100</f>
        <v>0</v>
      </c>
      <c r="BE722" s="34">
        <v>0</v>
      </c>
      <c r="BF722" s="34">
        <f>722</f>
        <v>722</v>
      </c>
      <c r="BH722" s="18">
        <f>G722*AO722</f>
        <v>0</v>
      </c>
      <c r="BI722" s="18">
        <f>G722*AP722</f>
        <v>0</v>
      </c>
      <c r="BJ722" s="18">
        <f>G722*H722</f>
        <v>0</v>
      </c>
    </row>
    <row r="723" spans="3:7" ht="12.75">
      <c r="C723" s="101" t="s">
        <v>6</v>
      </c>
      <c r="D723" s="102"/>
      <c r="E723" s="102"/>
      <c r="G723" s="64">
        <v>1</v>
      </c>
    </row>
    <row r="724" spans="1:62" ht="12.75">
      <c r="A724" s="6" t="s">
        <v>295</v>
      </c>
      <c r="B724" s="6" t="s">
        <v>506</v>
      </c>
      <c r="C724" s="103" t="s">
        <v>940</v>
      </c>
      <c r="D724" s="104"/>
      <c r="E724" s="104"/>
      <c r="F724" s="6" t="s">
        <v>988</v>
      </c>
      <c r="G724" s="65">
        <v>1</v>
      </c>
      <c r="H724" s="19">
        <v>0</v>
      </c>
      <c r="I724" s="19">
        <f>G724*AO724</f>
        <v>0</v>
      </c>
      <c r="J724" s="19">
        <f>G724*AP724</f>
        <v>0</v>
      </c>
      <c r="K724" s="19">
        <f>G724*H724</f>
        <v>0</v>
      </c>
      <c r="L724" s="30"/>
      <c r="Z724" s="34">
        <f>IF(AQ724="5",BJ724,0)</f>
        <v>0</v>
      </c>
      <c r="AB724" s="34">
        <f>IF(AQ724="1",BH724,0)</f>
        <v>0</v>
      </c>
      <c r="AC724" s="34">
        <f>IF(AQ724="1",BI724,0)</f>
        <v>0</v>
      </c>
      <c r="AD724" s="34">
        <f>IF(AQ724="7",BH724,0)</f>
        <v>0</v>
      </c>
      <c r="AE724" s="34">
        <f>IF(AQ724="7",BI724,0)</f>
        <v>0</v>
      </c>
      <c r="AF724" s="34">
        <f>IF(AQ724="2",BH724,0)</f>
        <v>0</v>
      </c>
      <c r="AG724" s="34">
        <f>IF(AQ724="2",BI724,0)</f>
        <v>0</v>
      </c>
      <c r="AH724" s="34">
        <f>IF(AQ724="0",BJ724,0)</f>
        <v>0</v>
      </c>
      <c r="AI724" s="28" t="s">
        <v>1021</v>
      </c>
      <c r="AJ724" s="19">
        <f>IF(AN724=0,K724,0)</f>
        <v>0</v>
      </c>
      <c r="AK724" s="19">
        <f>IF(AN724=15,K724,0)</f>
        <v>0</v>
      </c>
      <c r="AL724" s="19">
        <f>IF(AN724=21,K724,0)</f>
        <v>0</v>
      </c>
      <c r="AN724" s="34">
        <v>21</v>
      </c>
      <c r="AO724" s="34">
        <f>H724*1</f>
        <v>0</v>
      </c>
      <c r="AP724" s="34">
        <f>H724*(1-1)</f>
        <v>0</v>
      </c>
      <c r="AQ724" s="30" t="s">
        <v>6</v>
      </c>
      <c r="AV724" s="34">
        <f>AW724+AX724</f>
        <v>0</v>
      </c>
      <c r="AW724" s="34">
        <f>G724*AO724</f>
        <v>0</v>
      </c>
      <c r="AX724" s="34">
        <f>G724*AP724</f>
        <v>0</v>
      </c>
      <c r="AY724" s="35" t="s">
        <v>1050</v>
      </c>
      <c r="AZ724" s="35" t="s">
        <v>1081</v>
      </c>
      <c r="BA724" s="28" t="s">
        <v>1086</v>
      </c>
      <c r="BC724" s="34">
        <f>AW724+AX724</f>
        <v>0</v>
      </c>
      <c r="BD724" s="34">
        <f>H724/(100-BE724)*100</f>
        <v>0</v>
      </c>
      <c r="BE724" s="34">
        <v>0</v>
      </c>
      <c r="BF724" s="34">
        <f>724</f>
        <v>724</v>
      </c>
      <c r="BH724" s="19">
        <f>G724*AO724</f>
        <v>0</v>
      </c>
      <c r="BI724" s="19">
        <f>G724*AP724</f>
        <v>0</v>
      </c>
      <c r="BJ724" s="19">
        <f>G724*H724</f>
        <v>0</v>
      </c>
    </row>
    <row r="725" spans="3:7" ht="12.75">
      <c r="C725" s="101" t="s">
        <v>6</v>
      </c>
      <c r="D725" s="102"/>
      <c r="E725" s="102"/>
      <c r="G725" s="64">
        <v>1</v>
      </c>
    </row>
    <row r="726" spans="1:62" ht="12.75">
      <c r="A726" s="5" t="s">
        <v>296</v>
      </c>
      <c r="B726" s="5" t="s">
        <v>507</v>
      </c>
      <c r="C726" s="99" t="s">
        <v>941</v>
      </c>
      <c r="D726" s="100"/>
      <c r="E726" s="100"/>
      <c r="F726" s="5" t="s">
        <v>988</v>
      </c>
      <c r="G726" s="63">
        <v>1</v>
      </c>
      <c r="H726" s="18">
        <v>0</v>
      </c>
      <c r="I726" s="18">
        <f>G726*AO726</f>
        <v>0</v>
      </c>
      <c r="J726" s="18">
        <f>G726*AP726</f>
        <v>0</v>
      </c>
      <c r="K726" s="18">
        <f>G726*H726</f>
        <v>0</v>
      </c>
      <c r="L726" s="29"/>
      <c r="Z726" s="34">
        <f>IF(AQ726="5",BJ726,0)</f>
        <v>0</v>
      </c>
      <c r="AB726" s="34">
        <f>IF(AQ726="1",BH726,0)</f>
        <v>0</v>
      </c>
      <c r="AC726" s="34">
        <f>IF(AQ726="1",BI726,0)</f>
        <v>0</v>
      </c>
      <c r="AD726" s="34">
        <f>IF(AQ726="7",BH726,0)</f>
        <v>0</v>
      </c>
      <c r="AE726" s="34">
        <f>IF(AQ726="7",BI726,0)</f>
        <v>0</v>
      </c>
      <c r="AF726" s="34">
        <f>IF(AQ726="2",BH726,0)</f>
        <v>0</v>
      </c>
      <c r="AG726" s="34">
        <f>IF(AQ726="2",BI726,0)</f>
        <v>0</v>
      </c>
      <c r="AH726" s="34">
        <f>IF(AQ726="0",BJ726,0)</f>
        <v>0</v>
      </c>
      <c r="AI726" s="28" t="s">
        <v>1021</v>
      </c>
      <c r="AJ726" s="18">
        <f>IF(AN726=0,K726,0)</f>
        <v>0</v>
      </c>
      <c r="AK726" s="18">
        <f>IF(AN726=15,K726,0)</f>
        <v>0</v>
      </c>
      <c r="AL726" s="18">
        <f>IF(AN726=21,K726,0)</f>
        <v>0</v>
      </c>
      <c r="AN726" s="34">
        <v>21</v>
      </c>
      <c r="AO726" s="34">
        <f>H726*0.163879598662207</f>
        <v>0</v>
      </c>
      <c r="AP726" s="34">
        <f>H726*(1-0.163879598662207)</f>
        <v>0</v>
      </c>
      <c r="AQ726" s="29" t="s">
        <v>6</v>
      </c>
      <c r="AV726" s="34">
        <f>AW726+AX726</f>
        <v>0</v>
      </c>
      <c r="AW726" s="34">
        <f>G726*AO726</f>
        <v>0</v>
      </c>
      <c r="AX726" s="34">
        <f>G726*AP726</f>
        <v>0</v>
      </c>
      <c r="AY726" s="35" t="s">
        <v>1050</v>
      </c>
      <c r="AZ726" s="35" t="s">
        <v>1081</v>
      </c>
      <c r="BA726" s="28" t="s">
        <v>1086</v>
      </c>
      <c r="BC726" s="34">
        <f>AW726+AX726</f>
        <v>0</v>
      </c>
      <c r="BD726" s="34">
        <f>H726/(100-BE726)*100</f>
        <v>0</v>
      </c>
      <c r="BE726" s="34">
        <v>0</v>
      </c>
      <c r="BF726" s="34">
        <f>726</f>
        <v>726</v>
      </c>
      <c r="BH726" s="18">
        <f>G726*AO726</f>
        <v>0</v>
      </c>
      <c r="BI726" s="18">
        <f>G726*AP726</f>
        <v>0</v>
      </c>
      <c r="BJ726" s="18">
        <f>G726*H726</f>
        <v>0</v>
      </c>
    </row>
    <row r="727" spans="3:7" ht="12.75">
      <c r="C727" s="101" t="s">
        <v>6</v>
      </c>
      <c r="D727" s="102"/>
      <c r="E727" s="102"/>
      <c r="G727" s="64">
        <v>1</v>
      </c>
    </row>
    <row r="728" spans="1:62" ht="12.75">
      <c r="A728" s="6" t="s">
        <v>297</v>
      </c>
      <c r="B728" s="6" t="s">
        <v>508</v>
      </c>
      <c r="C728" s="103" t="s">
        <v>942</v>
      </c>
      <c r="D728" s="104"/>
      <c r="E728" s="104"/>
      <c r="F728" s="6" t="s">
        <v>988</v>
      </c>
      <c r="G728" s="65">
        <v>1</v>
      </c>
      <c r="H728" s="19">
        <v>0</v>
      </c>
      <c r="I728" s="19">
        <f>G728*AO728</f>
        <v>0</v>
      </c>
      <c r="J728" s="19">
        <f>G728*AP728</f>
        <v>0</v>
      </c>
      <c r="K728" s="19">
        <f>G728*H728</f>
        <v>0</v>
      </c>
      <c r="L728" s="30"/>
      <c r="Z728" s="34">
        <f>IF(AQ728="5",BJ728,0)</f>
        <v>0</v>
      </c>
      <c r="AB728" s="34">
        <f>IF(AQ728="1",BH728,0)</f>
        <v>0</v>
      </c>
      <c r="AC728" s="34">
        <f>IF(AQ728="1",BI728,0)</f>
        <v>0</v>
      </c>
      <c r="AD728" s="34">
        <f>IF(AQ728="7",BH728,0)</f>
        <v>0</v>
      </c>
      <c r="AE728" s="34">
        <f>IF(AQ728="7",BI728,0)</f>
        <v>0</v>
      </c>
      <c r="AF728" s="34">
        <f>IF(AQ728="2",BH728,0)</f>
        <v>0</v>
      </c>
      <c r="AG728" s="34">
        <f>IF(AQ728="2",BI728,0)</f>
        <v>0</v>
      </c>
      <c r="AH728" s="34">
        <f>IF(AQ728="0",BJ728,0)</f>
        <v>0</v>
      </c>
      <c r="AI728" s="28" t="s">
        <v>1021</v>
      </c>
      <c r="AJ728" s="19">
        <f>IF(AN728=0,K728,0)</f>
        <v>0</v>
      </c>
      <c r="AK728" s="19">
        <f>IF(AN728=15,K728,0)</f>
        <v>0</v>
      </c>
      <c r="AL728" s="19">
        <f>IF(AN728=21,K728,0)</f>
        <v>0</v>
      </c>
      <c r="AN728" s="34">
        <v>21</v>
      </c>
      <c r="AO728" s="34">
        <f>H728*1</f>
        <v>0</v>
      </c>
      <c r="AP728" s="34">
        <f>H728*(1-1)</f>
        <v>0</v>
      </c>
      <c r="AQ728" s="30" t="s">
        <v>6</v>
      </c>
      <c r="AV728" s="34">
        <f>AW728+AX728</f>
        <v>0</v>
      </c>
      <c r="AW728" s="34">
        <f>G728*AO728</f>
        <v>0</v>
      </c>
      <c r="AX728" s="34">
        <f>G728*AP728</f>
        <v>0</v>
      </c>
      <c r="AY728" s="35" t="s">
        <v>1050</v>
      </c>
      <c r="AZ728" s="35" t="s">
        <v>1081</v>
      </c>
      <c r="BA728" s="28" t="s">
        <v>1086</v>
      </c>
      <c r="BC728" s="34">
        <f>AW728+AX728</f>
        <v>0</v>
      </c>
      <c r="BD728" s="34">
        <f>H728/(100-BE728)*100</f>
        <v>0</v>
      </c>
      <c r="BE728" s="34">
        <v>0</v>
      </c>
      <c r="BF728" s="34">
        <f>728</f>
        <v>728</v>
      </c>
      <c r="BH728" s="19">
        <f>G728*AO728</f>
        <v>0</v>
      </c>
      <c r="BI728" s="19">
        <f>G728*AP728</f>
        <v>0</v>
      </c>
      <c r="BJ728" s="19">
        <f>G728*H728</f>
        <v>0</v>
      </c>
    </row>
    <row r="729" spans="3:7" ht="12.75">
      <c r="C729" s="101" t="s">
        <v>943</v>
      </c>
      <c r="D729" s="102"/>
      <c r="E729" s="102"/>
      <c r="G729" s="64">
        <v>1</v>
      </c>
    </row>
    <row r="730" spans="1:47" ht="12.75">
      <c r="A730" s="4"/>
      <c r="B730" s="14" t="s">
        <v>452</v>
      </c>
      <c r="C730" s="97" t="s">
        <v>769</v>
      </c>
      <c r="D730" s="98"/>
      <c r="E730" s="98"/>
      <c r="F730" s="4" t="s">
        <v>5</v>
      </c>
      <c r="G730" s="4" t="s">
        <v>5</v>
      </c>
      <c r="H730" s="4" t="s">
        <v>5</v>
      </c>
      <c r="I730" s="37">
        <f>SUM(I731:I745)</f>
        <v>0</v>
      </c>
      <c r="J730" s="37">
        <f>SUM(J731:J745)</f>
        <v>0</v>
      </c>
      <c r="K730" s="37">
        <f>SUM(K731:K745)</f>
        <v>0</v>
      </c>
      <c r="L730" s="28"/>
      <c r="AI730" s="28" t="s">
        <v>1021</v>
      </c>
      <c r="AS730" s="37">
        <f>SUM(AJ731:AJ745)</f>
        <v>0</v>
      </c>
      <c r="AT730" s="37">
        <f>SUM(AK731:AK745)</f>
        <v>0</v>
      </c>
      <c r="AU730" s="37">
        <f>SUM(AL731:AL745)</f>
        <v>0</v>
      </c>
    </row>
    <row r="731" spans="1:62" ht="12.75">
      <c r="A731" s="5" t="s">
        <v>298</v>
      </c>
      <c r="B731" s="5" t="s">
        <v>453</v>
      </c>
      <c r="C731" s="99" t="s">
        <v>770</v>
      </c>
      <c r="D731" s="100"/>
      <c r="E731" s="100"/>
      <c r="F731" s="5" t="s">
        <v>987</v>
      </c>
      <c r="G731" s="63">
        <v>15.677</v>
      </c>
      <c r="H731" s="18">
        <v>0</v>
      </c>
      <c r="I731" s="18">
        <f>G731*AO731</f>
        <v>0</v>
      </c>
      <c r="J731" s="18">
        <f>G731*AP731</f>
        <v>0</v>
      </c>
      <c r="K731" s="18">
        <f>G731*H731</f>
        <v>0</v>
      </c>
      <c r="L731" s="29"/>
      <c r="Z731" s="34">
        <f>IF(AQ731="5",BJ731,0)</f>
        <v>0</v>
      </c>
      <c r="AB731" s="34">
        <f>IF(AQ731="1",BH731,0)</f>
        <v>0</v>
      </c>
      <c r="AC731" s="34">
        <f>IF(AQ731="1",BI731,0)</f>
        <v>0</v>
      </c>
      <c r="AD731" s="34">
        <f>IF(AQ731="7",BH731,0)</f>
        <v>0</v>
      </c>
      <c r="AE731" s="34">
        <f>IF(AQ731="7",BI731,0)</f>
        <v>0</v>
      </c>
      <c r="AF731" s="34">
        <f>IF(AQ731="2",BH731,0)</f>
        <v>0</v>
      </c>
      <c r="AG731" s="34">
        <f>IF(AQ731="2",BI731,0)</f>
        <v>0</v>
      </c>
      <c r="AH731" s="34">
        <f>IF(AQ731="0",BJ731,0)</f>
        <v>0</v>
      </c>
      <c r="AI731" s="28" t="s">
        <v>1021</v>
      </c>
      <c r="AJ731" s="18">
        <f>IF(AN731=0,K731,0)</f>
        <v>0</v>
      </c>
      <c r="AK731" s="18">
        <f>IF(AN731=15,K731,0)</f>
        <v>0</v>
      </c>
      <c r="AL731" s="18">
        <f>IF(AN731=21,K731,0)</f>
        <v>0</v>
      </c>
      <c r="AN731" s="34">
        <v>21</v>
      </c>
      <c r="AO731" s="34">
        <f>H731*0</f>
        <v>0</v>
      </c>
      <c r="AP731" s="34">
        <f>H731*(1-0)</f>
        <v>0</v>
      </c>
      <c r="AQ731" s="29" t="s">
        <v>10</v>
      </c>
      <c r="AV731" s="34">
        <f>AW731+AX731</f>
        <v>0</v>
      </c>
      <c r="AW731" s="34">
        <f>G731*AO731</f>
        <v>0</v>
      </c>
      <c r="AX731" s="34">
        <f>G731*AP731</f>
        <v>0</v>
      </c>
      <c r="AY731" s="35" t="s">
        <v>1051</v>
      </c>
      <c r="AZ731" s="35" t="s">
        <v>1081</v>
      </c>
      <c r="BA731" s="28" t="s">
        <v>1086</v>
      </c>
      <c r="BC731" s="34">
        <f>AW731+AX731</f>
        <v>0</v>
      </c>
      <c r="BD731" s="34">
        <f>H731/(100-BE731)*100</f>
        <v>0</v>
      </c>
      <c r="BE731" s="34">
        <v>0</v>
      </c>
      <c r="BF731" s="34">
        <f>731</f>
        <v>731</v>
      </c>
      <c r="BH731" s="18">
        <f>G731*AO731</f>
        <v>0</v>
      </c>
      <c r="BI731" s="18">
        <f>G731*AP731</f>
        <v>0</v>
      </c>
      <c r="BJ731" s="18">
        <f>G731*H731</f>
        <v>0</v>
      </c>
    </row>
    <row r="732" spans="3:7" ht="12.75">
      <c r="C732" s="101" t="s">
        <v>944</v>
      </c>
      <c r="D732" s="102"/>
      <c r="E732" s="102"/>
      <c r="G732" s="64">
        <v>15.677</v>
      </c>
    </row>
    <row r="733" spans="1:62" ht="12.75">
      <c r="A733" s="5" t="s">
        <v>299</v>
      </c>
      <c r="B733" s="5" t="s">
        <v>454</v>
      </c>
      <c r="C733" s="99" t="s">
        <v>772</v>
      </c>
      <c r="D733" s="100"/>
      <c r="E733" s="100"/>
      <c r="F733" s="5" t="s">
        <v>987</v>
      </c>
      <c r="G733" s="63">
        <v>156.774</v>
      </c>
      <c r="H733" s="18">
        <v>0</v>
      </c>
      <c r="I733" s="18">
        <f>G733*AO733</f>
        <v>0</v>
      </c>
      <c r="J733" s="18">
        <f>G733*AP733</f>
        <v>0</v>
      </c>
      <c r="K733" s="18">
        <f>G733*H733</f>
        <v>0</v>
      </c>
      <c r="L733" s="29"/>
      <c r="Z733" s="34">
        <f>IF(AQ733="5",BJ733,0)</f>
        <v>0</v>
      </c>
      <c r="AB733" s="34">
        <f>IF(AQ733="1",BH733,0)</f>
        <v>0</v>
      </c>
      <c r="AC733" s="34">
        <f>IF(AQ733="1",BI733,0)</f>
        <v>0</v>
      </c>
      <c r="AD733" s="34">
        <f>IF(AQ733="7",BH733,0)</f>
        <v>0</v>
      </c>
      <c r="AE733" s="34">
        <f>IF(AQ733="7",BI733,0)</f>
        <v>0</v>
      </c>
      <c r="AF733" s="34">
        <f>IF(AQ733="2",BH733,0)</f>
        <v>0</v>
      </c>
      <c r="AG733" s="34">
        <f>IF(AQ733="2",BI733,0)</f>
        <v>0</v>
      </c>
      <c r="AH733" s="34">
        <f>IF(AQ733="0",BJ733,0)</f>
        <v>0</v>
      </c>
      <c r="AI733" s="28" t="s">
        <v>1021</v>
      </c>
      <c r="AJ733" s="18">
        <f>IF(AN733=0,K733,0)</f>
        <v>0</v>
      </c>
      <c r="AK733" s="18">
        <f>IF(AN733=15,K733,0)</f>
        <v>0</v>
      </c>
      <c r="AL733" s="18">
        <f>IF(AN733=21,K733,0)</f>
        <v>0</v>
      </c>
      <c r="AN733" s="34">
        <v>21</v>
      </c>
      <c r="AO733" s="34">
        <f>H733*0</f>
        <v>0</v>
      </c>
      <c r="AP733" s="34">
        <f>H733*(1-0)</f>
        <v>0</v>
      </c>
      <c r="AQ733" s="29" t="s">
        <v>10</v>
      </c>
      <c r="AV733" s="34">
        <f>AW733+AX733</f>
        <v>0</v>
      </c>
      <c r="AW733" s="34">
        <f>G733*AO733</f>
        <v>0</v>
      </c>
      <c r="AX733" s="34">
        <f>G733*AP733</f>
        <v>0</v>
      </c>
      <c r="AY733" s="35" t="s">
        <v>1051</v>
      </c>
      <c r="AZ733" s="35" t="s">
        <v>1081</v>
      </c>
      <c r="BA733" s="28" t="s">
        <v>1086</v>
      </c>
      <c r="BC733" s="34">
        <f>AW733+AX733</f>
        <v>0</v>
      </c>
      <c r="BD733" s="34">
        <f>H733/(100-BE733)*100</f>
        <v>0</v>
      </c>
      <c r="BE733" s="34">
        <v>0</v>
      </c>
      <c r="BF733" s="34">
        <f>733</f>
        <v>733</v>
      </c>
      <c r="BH733" s="18">
        <f>G733*AO733</f>
        <v>0</v>
      </c>
      <c r="BI733" s="18">
        <f>G733*AP733</f>
        <v>0</v>
      </c>
      <c r="BJ733" s="18">
        <f>G733*H733</f>
        <v>0</v>
      </c>
    </row>
    <row r="734" spans="3:7" ht="12.75">
      <c r="C734" s="101" t="s">
        <v>945</v>
      </c>
      <c r="D734" s="102"/>
      <c r="E734" s="102"/>
      <c r="G734" s="64">
        <v>156.774</v>
      </c>
    </row>
    <row r="735" spans="1:62" ht="12.75">
      <c r="A735" s="5" t="s">
        <v>300</v>
      </c>
      <c r="B735" s="5" t="s">
        <v>455</v>
      </c>
      <c r="C735" s="99" t="s">
        <v>774</v>
      </c>
      <c r="D735" s="100"/>
      <c r="E735" s="100"/>
      <c r="F735" s="5" t="s">
        <v>987</v>
      </c>
      <c r="G735" s="63">
        <v>15.677</v>
      </c>
      <c r="H735" s="18">
        <v>0</v>
      </c>
      <c r="I735" s="18">
        <f>G735*AO735</f>
        <v>0</v>
      </c>
      <c r="J735" s="18">
        <f>G735*AP735</f>
        <v>0</v>
      </c>
      <c r="K735" s="18">
        <f>G735*H735</f>
        <v>0</v>
      </c>
      <c r="L735" s="29"/>
      <c r="Z735" s="34">
        <f>IF(AQ735="5",BJ735,0)</f>
        <v>0</v>
      </c>
      <c r="AB735" s="34">
        <f>IF(AQ735="1",BH735,0)</f>
        <v>0</v>
      </c>
      <c r="AC735" s="34">
        <f>IF(AQ735="1",BI735,0)</f>
        <v>0</v>
      </c>
      <c r="AD735" s="34">
        <f>IF(AQ735="7",BH735,0)</f>
        <v>0</v>
      </c>
      <c r="AE735" s="34">
        <f>IF(AQ735="7",BI735,0)</f>
        <v>0</v>
      </c>
      <c r="AF735" s="34">
        <f>IF(AQ735="2",BH735,0)</f>
        <v>0</v>
      </c>
      <c r="AG735" s="34">
        <f>IF(AQ735="2",BI735,0)</f>
        <v>0</v>
      </c>
      <c r="AH735" s="34">
        <f>IF(AQ735="0",BJ735,0)</f>
        <v>0</v>
      </c>
      <c r="AI735" s="28" t="s">
        <v>1021</v>
      </c>
      <c r="AJ735" s="18">
        <f>IF(AN735=0,K735,0)</f>
        <v>0</v>
      </c>
      <c r="AK735" s="18">
        <f>IF(AN735=15,K735,0)</f>
        <v>0</v>
      </c>
      <c r="AL735" s="18">
        <f>IF(AN735=21,K735,0)</f>
        <v>0</v>
      </c>
      <c r="AN735" s="34">
        <v>21</v>
      </c>
      <c r="AO735" s="34">
        <f>H735*0</f>
        <v>0</v>
      </c>
      <c r="AP735" s="34">
        <f>H735*(1-0)</f>
        <v>0</v>
      </c>
      <c r="AQ735" s="29" t="s">
        <v>10</v>
      </c>
      <c r="AV735" s="34">
        <f>AW735+AX735</f>
        <v>0</v>
      </c>
      <c r="AW735" s="34">
        <f>G735*AO735</f>
        <v>0</v>
      </c>
      <c r="AX735" s="34">
        <f>G735*AP735</f>
        <v>0</v>
      </c>
      <c r="AY735" s="35" t="s">
        <v>1051</v>
      </c>
      <c r="AZ735" s="35" t="s">
        <v>1081</v>
      </c>
      <c r="BA735" s="28" t="s">
        <v>1086</v>
      </c>
      <c r="BC735" s="34">
        <f>AW735+AX735</f>
        <v>0</v>
      </c>
      <c r="BD735" s="34">
        <f>H735/(100-BE735)*100</f>
        <v>0</v>
      </c>
      <c r="BE735" s="34">
        <v>0</v>
      </c>
      <c r="BF735" s="34">
        <f>735</f>
        <v>735</v>
      </c>
      <c r="BH735" s="18">
        <f>G735*AO735</f>
        <v>0</v>
      </c>
      <c r="BI735" s="18">
        <f>G735*AP735</f>
        <v>0</v>
      </c>
      <c r="BJ735" s="18">
        <f>G735*H735</f>
        <v>0</v>
      </c>
    </row>
    <row r="736" spans="3:7" ht="12.75">
      <c r="C736" s="101" t="s">
        <v>944</v>
      </c>
      <c r="D736" s="102"/>
      <c r="E736" s="102"/>
      <c r="G736" s="64">
        <v>15.677</v>
      </c>
    </row>
    <row r="737" spans="1:62" ht="12.75">
      <c r="A737" s="5" t="s">
        <v>301</v>
      </c>
      <c r="B737" s="5" t="s">
        <v>456</v>
      </c>
      <c r="C737" s="99" t="s">
        <v>776</v>
      </c>
      <c r="D737" s="100"/>
      <c r="E737" s="100"/>
      <c r="F737" s="5" t="s">
        <v>987</v>
      </c>
      <c r="G737" s="63">
        <v>15.677</v>
      </c>
      <c r="H737" s="18">
        <v>0</v>
      </c>
      <c r="I737" s="18">
        <f>G737*AO737</f>
        <v>0</v>
      </c>
      <c r="J737" s="18">
        <f>G737*AP737</f>
        <v>0</v>
      </c>
      <c r="K737" s="18">
        <f>G737*H737</f>
        <v>0</v>
      </c>
      <c r="L737" s="29"/>
      <c r="Z737" s="34">
        <f>IF(AQ737="5",BJ737,0)</f>
        <v>0</v>
      </c>
      <c r="AB737" s="34">
        <f>IF(AQ737="1",BH737,0)</f>
        <v>0</v>
      </c>
      <c r="AC737" s="34">
        <f>IF(AQ737="1",BI737,0)</f>
        <v>0</v>
      </c>
      <c r="AD737" s="34">
        <f>IF(AQ737="7",BH737,0)</f>
        <v>0</v>
      </c>
      <c r="AE737" s="34">
        <f>IF(AQ737="7",BI737,0)</f>
        <v>0</v>
      </c>
      <c r="AF737" s="34">
        <f>IF(AQ737="2",BH737,0)</f>
        <v>0</v>
      </c>
      <c r="AG737" s="34">
        <f>IF(AQ737="2",BI737,0)</f>
        <v>0</v>
      </c>
      <c r="AH737" s="34">
        <f>IF(AQ737="0",BJ737,0)</f>
        <v>0</v>
      </c>
      <c r="AI737" s="28" t="s">
        <v>1021</v>
      </c>
      <c r="AJ737" s="18">
        <f>IF(AN737=0,K737,0)</f>
        <v>0</v>
      </c>
      <c r="AK737" s="18">
        <f>IF(AN737=15,K737,0)</f>
        <v>0</v>
      </c>
      <c r="AL737" s="18">
        <f>IF(AN737=21,K737,0)</f>
        <v>0</v>
      </c>
      <c r="AN737" s="34">
        <v>21</v>
      </c>
      <c r="AO737" s="34">
        <f>H737*0</f>
        <v>0</v>
      </c>
      <c r="AP737" s="34">
        <f>H737*(1-0)</f>
        <v>0</v>
      </c>
      <c r="AQ737" s="29" t="s">
        <v>10</v>
      </c>
      <c r="AV737" s="34">
        <f>AW737+AX737</f>
        <v>0</v>
      </c>
      <c r="AW737" s="34">
        <f>G737*AO737</f>
        <v>0</v>
      </c>
      <c r="AX737" s="34">
        <f>G737*AP737</f>
        <v>0</v>
      </c>
      <c r="AY737" s="35" t="s">
        <v>1051</v>
      </c>
      <c r="AZ737" s="35" t="s">
        <v>1081</v>
      </c>
      <c r="BA737" s="28" t="s">
        <v>1086</v>
      </c>
      <c r="BC737" s="34">
        <f>AW737+AX737</f>
        <v>0</v>
      </c>
      <c r="BD737" s="34">
        <f>H737/(100-BE737)*100</f>
        <v>0</v>
      </c>
      <c r="BE737" s="34">
        <v>0</v>
      </c>
      <c r="BF737" s="34">
        <f>737</f>
        <v>737</v>
      </c>
      <c r="BH737" s="18">
        <f>G737*AO737</f>
        <v>0</v>
      </c>
      <c r="BI737" s="18">
        <f>G737*AP737</f>
        <v>0</v>
      </c>
      <c r="BJ737" s="18">
        <f>G737*H737</f>
        <v>0</v>
      </c>
    </row>
    <row r="738" spans="3:7" ht="12.75">
      <c r="C738" s="101" t="s">
        <v>944</v>
      </c>
      <c r="D738" s="102"/>
      <c r="E738" s="102"/>
      <c r="G738" s="64">
        <v>15.677</v>
      </c>
    </row>
    <row r="739" spans="1:62" ht="12.75">
      <c r="A739" s="5" t="s">
        <v>302</v>
      </c>
      <c r="B739" s="5" t="s">
        <v>457</v>
      </c>
      <c r="C739" s="99" t="s">
        <v>777</v>
      </c>
      <c r="D739" s="100"/>
      <c r="E739" s="100"/>
      <c r="F739" s="5" t="s">
        <v>987</v>
      </c>
      <c r="G739" s="63">
        <v>15.148</v>
      </c>
      <c r="H739" s="18">
        <v>0</v>
      </c>
      <c r="I739" s="18">
        <f>G739*AO739</f>
        <v>0</v>
      </c>
      <c r="J739" s="18">
        <f>G739*AP739</f>
        <v>0</v>
      </c>
      <c r="K739" s="18">
        <f>G739*H739</f>
        <v>0</v>
      </c>
      <c r="L739" s="29"/>
      <c r="Z739" s="34">
        <f>IF(AQ739="5",BJ739,0)</f>
        <v>0</v>
      </c>
      <c r="AB739" s="34">
        <f>IF(AQ739="1",BH739,0)</f>
        <v>0</v>
      </c>
      <c r="AC739" s="34">
        <f>IF(AQ739="1",BI739,0)</f>
        <v>0</v>
      </c>
      <c r="AD739" s="34">
        <f>IF(AQ739="7",BH739,0)</f>
        <v>0</v>
      </c>
      <c r="AE739" s="34">
        <f>IF(AQ739="7",BI739,0)</f>
        <v>0</v>
      </c>
      <c r="AF739" s="34">
        <f>IF(AQ739="2",BH739,0)</f>
        <v>0</v>
      </c>
      <c r="AG739" s="34">
        <f>IF(AQ739="2",BI739,0)</f>
        <v>0</v>
      </c>
      <c r="AH739" s="34">
        <f>IF(AQ739="0",BJ739,0)</f>
        <v>0</v>
      </c>
      <c r="AI739" s="28" t="s">
        <v>1021</v>
      </c>
      <c r="AJ739" s="18">
        <f>IF(AN739=0,K739,0)</f>
        <v>0</v>
      </c>
      <c r="AK739" s="18">
        <f>IF(AN739=15,K739,0)</f>
        <v>0</v>
      </c>
      <c r="AL739" s="18">
        <f>IF(AN739=21,K739,0)</f>
        <v>0</v>
      </c>
      <c r="AN739" s="34">
        <v>21</v>
      </c>
      <c r="AO739" s="34">
        <f>H739*0</f>
        <v>0</v>
      </c>
      <c r="AP739" s="34">
        <f>H739*(1-0)</f>
        <v>0</v>
      </c>
      <c r="AQ739" s="29" t="s">
        <v>10</v>
      </c>
      <c r="AV739" s="34">
        <f>AW739+AX739</f>
        <v>0</v>
      </c>
      <c r="AW739" s="34">
        <f>G739*AO739</f>
        <v>0</v>
      </c>
      <c r="AX739" s="34">
        <f>G739*AP739</f>
        <v>0</v>
      </c>
      <c r="AY739" s="35" t="s">
        <v>1051</v>
      </c>
      <c r="AZ739" s="35" t="s">
        <v>1081</v>
      </c>
      <c r="BA739" s="28" t="s">
        <v>1086</v>
      </c>
      <c r="BC739" s="34">
        <f>AW739+AX739</f>
        <v>0</v>
      </c>
      <c r="BD739" s="34">
        <f>H739/(100-BE739)*100</f>
        <v>0</v>
      </c>
      <c r="BE739" s="34">
        <v>0</v>
      </c>
      <c r="BF739" s="34">
        <f>739</f>
        <v>739</v>
      </c>
      <c r="BH739" s="18">
        <f>G739*AO739</f>
        <v>0</v>
      </c>
      <c r="BI739" s="18">
        <f>G739*AP739</f>
        <v>0</v>
      </c>
      <c r="BJ739" s="18">
        <f>G739*H739</f>
        <v>0</v>
      </c>
    </row>
    <row r="740" spans="3:7" ht="12.75">
      <c r="C740" s="101" t="s">
        <v>946</v>
      </c>
      <c r="D740" s="102"/>
      <c r="E740" s="102"/>
      <c r="G740" s="64">
        <v>15.148</v>
      </c>
    </row>
    <row r="741" spans="1:62" ht="12.75">
      <c r="A741" s="5" t="s">
        <v>303</v>
      </c>
      <c r="B741" s="5" t="s">
        <v>509</v>
      </c>
      <c r="C741" s="99" t="s">
        <v>947</v>
      </c>
      <c r="D741" s="100"/>
      <c r="E741" s="100"/>
      <c r="F741" s="5" t="s">
        <v>987</v>
      </c>
      <c r="G741" s="63">
        <v>0.1</v>
      </c>
      <c r="H741" s="18">
        <v>0</v>
      </c>
      <c r="I741" s="18">
        <f>G741*AO741</f>
        <v>0</v>
      </c>
      <c r="J741" s="18">
        <f>G741*AP741</f>
        <v>0</v>
      </c>
      <c r="K741" s="18">
        <f>G741*H741</f>
        <v>0</v>
      </c>
      <c r="L741" s="29"/>
      <c r="Z741" s="34">
        <f>IF(AQ741="5",BJ741,0)</f>
        <v>0</v>
      </c>
      <c r="AB741" s="34">
        <f>IF(AQ741="1",BH741,0)</f>
        <v>0</v>
      </c>
      <c r="AC741" s="34">
        <f>IF(AQ741="1",BI741,0)</f>
        <v>0</v>
      </c>
      <c r="AD741" s="34">
        <f>IF(AQ741="7",BH741,0)</f>
        <v>0</v>
      </c>
      <c r="AE741" s="34">
        <f>IF(AQ741="7",BI741,0)</f>
        <v>0</v>
      </c>
      <c r="AF741" s="34">
        <f>IF(AQ741="2",BH741,0)</f>
        <v>0</v>
      </c>
      <c r="AG741" s="34">
        <f>IF(AQ741="2",BI741,0)</f>
        <v>0</v>
      </c>
      <c r="AH741" s="34">
        <f>IF(AQ741="0",BJ741,0)</f>
        <v>0</v>
      </c>
      <c r="AI741" s="28" t="s">
        <v>1021</v>
      </c>
      <c r="AJ741" s="18">
        <f>IF(AN741=0,K741,0)</f>
        <v>0</v>
      </c>
      <c r="AK741" s="18">
        <f>IF(AN741=15,K741,0)</f>
        <v>0</v>
      </c>
      <c r="AL741" s="18">
        <f>IF(AN741=21,K741,0)</f>
        <v>0</v>
      </c>
      <c r="AN741" s="34">
        <v>21</v>
      </c>
      <c r="AO741" s="34">
        <f>H741*0</f>
        <v>0</v>
      </c>
      <c r="AP741" s="34">
        <f>H741*(1-0)</f>
        <v>0</v>
      </c>
      <c r="AQ741" s="29" t="s">
        <v>10</v>
      </c>
      <c r="AV741" s="34">
        <f>AW741+AX741</f>
        <v>0</v>
      </c>
      <c r="AW741" s="34">
        <f>G741*AO741</f>
        <v>0</v>
      </c>
      <c r="AX741" s="34">
        <f>G741*AP741</f>
        <v>0</v>
      </c>
      <c r="AY741" s="35" t="s">
        <v>1051</v>
      </c>
      <c r="AZ741" s="35" t="s">
        <v>1081</v>
      </c>
      <c r="BA741" s="28" t="s">
        <v>1086</v>
      </c>
      <c r="BC741" s="34">
        <f>AW741+AX741</f>
        <v>0</v>
      </c>
      <c r="BD741" s="34">
        <f>H741/(100-BE741)*100</f>
        <v>0</v>
      </c>
      <c r="BE741" s="34">
        <v>0</v>
      </c>
      <c r="BF741" s="34">
        <f>741</f>
        <v>741</v>
      </c>
      <c r="BH741" s="18">
        <f>G741*AO741</f>
        <v>0</v>
      </c>
      <c r="BI741" s="18">
        <f>G741*AP741</f>
        <v>0</v>
      </c>
      <c r="BJ741" s="18">
        <f>G741*H741</f>
        <v>0</v>
      </c>
    </row>
    <row r="742" spans="3:7" ht="12.75">
      <c r="C742" s="101" t="s">
        <v>948</v>
      </c>
      <c r="D742" s="102"/>
      <c r="E742" s="102"/>
      <c r="G742" s="64">
        <v>0.1</v>
      </c>
    </row>
    <row r="743" spans="1:62" ht="12.75">
      <c r="A743" s="5" t="s">
        <v>304</v>
      </c>
      <c r="B743" s="5" t="s">
        <v>458</v>
      </c>
      <c r="C743" s="99" t="s">
        <v>779</v>
      </c>
      <c r="D743" s="100"/>
      <c r="E743" s="100"/>
      <c r="F743" s="5" t="s">
        <v>987</v>
      </c>
      <c r="G743" s="63">
        <v>1.715</v>
      </c>
      <c r="H743" s="18">
        <v>0</v>
      </c>
      <c r="I743" s="18">
        <f>G743*AO743</f>
        <v>0</v>
      </c>
      <c r="J743" s="18">
        <f>G743*AP743</f>
        <v>0</v>
      </c>
      <c r="K743" s="18">
        <f>G743*H743</f>
        <v>0</v>
      </c>
      <c r="L743" s="29"/>
      <c r="Z743" s="34">
        <f>IF(AQ743="5",BJ743,0)</f>
        <v>0</v>
      </c>
      <c r="AB743" s="34">
        <f>IF(AQ743="1",BH743,0)</f>
        <v>0</v>
      </c>
      <c r="AC743" s="34">
        <f>IF(AQ743="1",BI743,0)</f>
        <v>0</v>
      </c>
      <c r="AD743" s="34">
        <f>IF(AQ743="7",BH743,0)</f>
        <v>0</v>
      </c>
      <c r="AE743" s="34">
        <f>IF(AQ743="7",BI743,0)</f>
        <v>0</v>
      </c>
      <c r="AF743" s="34">
        <f>IF(AQ743="2",BH743,0)</f>
        <v>0</v>
      </c>
      <c r="AG743" s="34">
        <f>IF(AQ743="2",BI743,0)</f>
        <v>0</v>
      </c>
      <c r="AH743" s="34">
        <f>IF(AQ743="0",BJ743,0)</f>
        <v>0</v>
      </c>
      <c r="AI743" s="28" t="s">
        <v>1021</v>
      </c>
      <c r="AJ743" s="18">
        <f>IF(AN743=0,K743,0)</f>
        <v>0</v>
      </c>
      <c r="AK743" s="18">
        <f>IF(AN743=15,K743,0)</f>
        <v>0</v>
      </c>
      <c r="AL743" s="18">
        <f>IF(AN743=21,K743,0)</f>
        <v>0</v>
      </c>
      <c r="AN743" s="34">
        <v>21</v>
      </c>
      <c r="AO743" s="34">
        <f>H743*0</f>
        <v>0</v>
      </c>
      <c r="AP743" s="34">
        <f>H743*(1-0)</f>
        <v>0</v>
      </c>
      <c r="AQ743" s="29" t="s">
        <v>10</v>
      </c>
      <c r="AV743" s="34">
        <f>AW743+AX743</f>
        <v>0</v>
      </c>
      <c r="AW743" s="34">
        <f>G743*AO743</f>
        <v>0</v>
      </c>
      <c r="AX743" s="34">
        <f>G743*AP743</f>
        <v>0</v>
      </c>
      <c r="AY743" s="35" t="s">
        <v>1051</v>
      </c>
      <c r="AZ743" s="35" t="s">
        <v>1081</v>
      </c>
      <c r="BA743" s="28" t="s">
        <v>1086</v>
      </c>
      <c r="BC743" s="34">
        <f>AW743+AX743</f>
        <v>0</v>
      </c>
      <c r="BD743" s="34">
        <f>H743/(100-BE743)*100</f>
        <v>0</v>
      </c>
      <c r="BE743" s="34">
        <v>0</v>
      </c>
      <c r="BF743" s="34">
        <f>743</f>
        <v>743</v>
      </c>
      <c r="BH743" s="18">
        <f>G743*AO743</f>
        <v>0</v>
      </c>
      <c r="BI743" s="18">
        <f>G743*AP743</f>
        <v>0</v>
      </c>
      <c r="BJ743" s="18">
        <f>G743*H743</f>
        <v>0</v>
      </c>
    </row>
    <row r="744" spans="3:7" ht="12.75">
      <c r="C744" s="101" t="s">
        <v>949</v>
      </c>
      <c r="D744" s="102"/>
      <c r="E744" s="102"/>
      <c r="G744" s="64">
        <v>1.715</v>
      </c>
    </row>
    <row r="745" spans="1:62" ht="12.75">
      <c r="A745" s="5" t="s">
        <v>305</v>
      </c>
      <c r="B745" s="5" t="s">
        <v>459</v>
      </c>
      <c r="C745" s="99" t="s">
        <v>781</v>
      </c>
      <c r="D745" s="100"/>
      <c r="E745" s="100"/>
      <c r="F745" s="5" t="s">
        <v>987</v>
      </c>
      <c r="G745" s="63">
        <v>0.127</v>
      </c>
      <c r="H745" s="18">
        <v>0</v>
      </c>
      <c r="I745" s="18">
        <f>G745*AO745</f>
        <v>0</v>
      </c>
      <c r="J745" s="18">
        <f>G745*AP745</f>
        <v>0</v>
      </c>
      <c r="K745" s="18">
        <f>G745*H745</f>
        <v>0</v>
      </c>
      <c r="L745" s="29"/>
      <c r="Z745" s="34">
        <f>IF(AQ745="5",BJ745,0)</f>
        <v>0</v>
      </c>
      <c r="AB745" s="34">
        <f>IF(AQ745="1",BH745,0)</f>
        <v>0</v>
      </c>
      <c r="AC745" s="34">
        <f>IF(AQ745="1",BI745,0)</f>
        <v>0</v>
      </c>
      <c r="AD745" s="34">
        <f>IF(AQ745="7",BH745,0)</f>
        <v>0</v>
      </c>
      <c r="AE745" s="34">
        <f>IF(AQ745="7",BI745,0)</f>
        <v>0</v>
      </c>
      <c r="AF745" s="34">
        <f>IF(AQ745="2",BH745,0)</f>
        <v>0</v>
      </c>
      <c r="AG745" s="34">
        <f>IF(AQ745="2",BI745,0)</f>
        <v>0</v>
      </c>
      <c r="AH745" s="34">
        <f>IF(AQ745="0",BJ745,0)</f>
        <v>0</v>
      </c>
      <c r="AI745" s="28" t="s">
        <v>1021</v>
      </c>
      <c r="AJ745" s="18">
        <f>IF(AN745=0,K745,0)</f>
        <v>0</v>
      </c>
      <c r="AK745" s="18">
        <f>IF(AN745=15,K745,0)</f>
        <v>0</v>
      </c>
      <c r="AL745" s="18">
        <f>IF(AN745=21,K745,0)</f>
        <v>0</v>
      </c>
      <c r="AN745" s="34">
        <v>21</v>
      </c>
      <c r="AO745" s="34">
        <f>H745*0</f>
        <v>0</v>
      </c>
      <c r="AP745" s="34">
        <f>H745*(1-0)</f>
        <v>0</v>
      </c>
      <c r="AQ745" s="29" t="s">
        <v>10</v>
      </c>
      <c r="AV745" s="34">
        <f>AW745+AX745</f>
        <v>0</v>
      </c>
      <c r="AW745" s="34">
        <f>G745*AO745</f>
        <v>0</v>
      </c>
      <c r="AX745" s="34">
        <f>G745*AP745</f>
        <v>0</v>
      </c>
      <c r="AY745" s="35" t="s">
        <v>1051</v>
      </c>
      <c r="AZ745" s="35" t="s">
        <v>1081</v>
      </c>
      <c r="BA745" s="28" t="s">
        <v>1086</v>
      </c>
      <c r="BC745" s="34">
        <f>AW745+AX745</f>
        <v>0</v>
      </c>
      <c r="BD745" s="34">
        <f>H745/(100-BE745)*100</f>
        <v>0</v>
      </c>
      <c r="BE745" s="34">
        <v>0</v>
      </c>
      <c r="BF745" s="34">
        <f>745</f>
        <v>745</v>
      </c>
      <c r="BH745" s="18">
        <f>G745*AO745</f>
        <v>0</v>
      </c>
      <c r="BI745" s="18">
        <f>G745*AP745</f>
        <v>0</v>
      </c>
      <c r="BJ745" s="18">
        <f>G745*H745</f>
        <v>0</v>
      </c>
    </row>
    <row r="746" spans="3:7" ht="12.75">
      <c r="C746" s="101" t="s">
        <v>950</v>
      </c>
      <c r="D746" s="102"/>
      <c r="E746" s="102"/>
      <c r="G746" s="64">
        <v>0.127</v>
      </c>
    </row>
    <row r="747" spans="1:12" ht="12.75">
      <c r="A747" s="7"/>
      <c r="B747" s="15"/>
      <c r="C747" s="105" t="s">
        <v>951</v>
      </c>
      <c r="D747" s="106"/>
      <c r="E747" s="106"/>
      <c r="F747" s="7" t="s">
        <v>5</v>
      </c>
      <c r="G747" s="7" t="s">
        <v>5</v>
      </c>
      <c r="H747" s="7" t="s">
        <v>5</v>
      </c>
      <c r="I747" s="38">
        <f>I748</f>
        <v>0</v>
      </c>
      <c r="J747" s="38">
        <f>J748</f>
        <v>0</v>
      </c>
      <c r="K747" s="38">
        <f>K748</f>
        <v>0</v>
      </c>
      <c r="L747" s="31"/>
    </row>
    <row r="748" spans="1:47" ht="12.75">
      <c r="A748" s="4"/>
      <c r="B748" s="14" t="s">
        <v>510</v>
      </c>
      <c r="C748" s="97" t="s">
        <v>952</v>
      </c>
      <c r="D748" s="98"/>
      <c r="E748" s="98"/>
      <c r="F748" s="4" t="s">
        <v>5</v>
      </c>
      <c r="G748" s="4" t="s">
        <v>5</v>
      </c>
      <c r="H748" s="4" t="s">
        <v>5</v>
      </c>
      <c r="I748" s="37">
        <f>SUM(I749:I757)</f>
        <v>0</v>
      </c>
      <c r="J748" s="37">
        <f>SUM(J749:J757)</f>
        <v>0</v>
      </c>
      <c r="K748" s="37">
        <f>SUM(K749:K757)</f>
        <v>0</v>
      </c>
      <c r="L748" s="28"/>
      <c r="AI748" s="28" t="s">
        <v>1022</v>
      </c>
      <c r="AS748" s="37">
        <f>SUM(AJ749:AJ757)</f>
        <v>0</v>
      </c>
      <c r="AT748" s="37">
        <f>SUM(AK749:AK757)</f>
        <v>0</v>
      </c>
      <c r="AU748" s="37">
        <f>SUM(AL749:AL757)</f>
        <v>0</v>
      </c>
    </row>
    <row r="749" spans="1:62" ht="12.75">
      <c r="A749" s="5" t="s">
        <v>306</v>
      </c>
      <c r="B749" s="5" t="s">
        <v>511</v>
      </c>
      <c r="C749" s="99" t="s">
        <v>953</v>
      </c>
      <c r="D749" s="100"/>
      <c r="E749" s="100"/>
      <c r="F749" s="5" t="s">
        <v>989</v>
      </c>
      <c r="G749" s="63">
        <v>8</v>
      </c>
      <c r="H749" s="18">
        <v>0</v>
      </c>
      <c r="I749" s="18">
        <f>G749*AO749</f>
        <v>0</v>
      </c>
      <c r="J749" s="18">
        <f>G749*AP749</f>
        <v>0</v>
      </c>
      <c r="K749" s="18">
        <f>G749*H749</f>
        <v>0</v>
      </c>
      <c r="L749" s="29"/>
      <c r="Z749" s="34">
        <f>IF(AQ749="5",BJ749,0)</f>
        <v>0</v>
      </c>
      <c r="AB749" s="34">
        <f>IF(AQ749="1",BH749,0)</f>
        <v>0</v>
      </c>
      <c r="AC749" s="34">
        <f>IF(AQ749="1",BI749,0)</f>
        <v>0</v>
      </c>
      <c r="AD749" s="34">
        <f>IF(AQ749="7",BH749,0)</f>
        <v>0</v>
      </c>
      <c r="AE749" s="34">
        <f>IF(AQ749="7",BI749,0)</f>
        <v>0</v>
      </c>
      <c r="AF749" s="34">
        <f>IF(AQ749="2",BH749,0)</f>
        <v>0</v>
      </c>
      <c r="AG749" s="34">
        <f>IF(AQ749="2",BI749,0)</f>
        <v>0</v>
      </c>
      <c r="AH749" s="34">
        <f>IF(AQ749="0",BJ749,0)</f>
        <v>0</v>
      </c>
      <c r="AI749" s="28" t="s">
        <v>1022</v>
      </c>
      <c r="AJ749" s="18">
        <f>IF(AN749=0,K749,0)</f>
        <v>0</v>
      </c>
      <c r="AK749" s="18">
        <f>IF(AN749=15,K749,0)</f>
        <v>0</v>
      </c>
      <c r="AL749" s="18">
        <f>IF(AN749=21,K749,0)</f>
        <v>0</v>
      </c>
      <c r="AN749" s="34">
        <v>21</v>
      </c>
      <c r="AO749" s="34">
        <f>H749*0</f>
        <v>0</v>
      </c>
      <c r="AP749" s="34">
        <f>H749*(1-0)</f>
        <v>0</v>
      </c>
      <c r="AQ749" s="29" t="s">
        <v>7</v>
      </c>
      <c r="AV749" s="34">
        <f>AW749+AX749</f>
        <v>0</v>
      </c>
      <c r="AW749" s="34">
        <f>G749*AO749</f>
        <v>0</v>
      </c>
      <c r="AX749" s="34">
        <f>G749*AP749</f>
        <v>0</v>
      </c>
      <c r="AY749" s="35" t="s">
        <v>1060</v>
      </c>
      <c r="AZ749" s="35" t="s">
        <v>1082</v>
      </c>
      <c r="BA749" s="28" t="s">
        <v>1087</v>
      </c>
      <c r="BC749" s="34">
        <f>AW749+AX749</f>
        <v>0</v>
      </c>
      <c r="BD749" s="34">
        <f>H749/(100-BE749)*100</f>
        <v>0</v>
      </c>
      <c r="BE749" s="34">
        <v>0</v>
      </c>
      <c r="BF749" s="34">
        <f>749</f>
        <v>749</v>
      </c>
      <c r="BH749" s="18">
        <f>G749*AO749</f>
        <v>0</v>
      </c>
      <c r="BI749" s="18">
        <f>G749*AP749</f>
        <v>0</v>
      </c>
      <c r="BJ749" s="18">
        <f>G749*H749</f>
        <v>0</v>
      </c>
    </row>
    <row r="750" spans="3:7" ht="12.75">
      <c r="C750" s="101" t="s">
        <v>13</v>
      </c>
      <c r="D750" s="102"/>
      <c r="E750" s="102"/>
      <c r="G750" s="64">
        <v>8</v>
      </c>
    </row>
    <row r="751" spans="1:62" ht="12.75">
      <c r="A751" s="5" t="s">
        <v>307</v>
      </c>
      <c r="B751" s="5" t="s">
        <v>511</v>
      </c>
      <c r="C751" s="99" t="s">
        <v>954</v>
      </c>
      <c r="D751" s="100"/>
      <c r="E751" s="100"/>
      <c r="F751" s="5" t="s">
        <v>989</v>
      </c>
      <c r="G751" s="63">
        <v>8</v>
      </c>
      <c r="H751" s="18">
        <v>0</v>
      </c>
      <c r="I751" s="18">
        <f>G751*AO751</f>
        <v>0</v>
      </c>
      <c r="J751" s="18">
        <f>G751*AP751</f>
        <v>0</v>
      </c>
      <c r="K751" s="18">
        <f>G751*H751</f>
        <v>0</v>
      </c>
      <c r="L751" s="29"/>
      <c r="Z751" s="34">
        <f>IF(AQ751="5",BJ751,0)</f>
        <v>0</v>
      </c>
      <c r="AB751" s="34">
        <f>IF(AQ751="1",BH751,0)</f>
        <v>0</v>
      </c>
      <c r="AC751" s="34">
        <f>IF(AQ751="1",BI751,0)</f>
        <v>0</v>
      </c>
      <c r="AD751" s="34">
        <f>IF(AQ751="7",BH751,0)</f>
        <v>0</v>
      </c>
      <c r="AE751" s="34">
        <f>IF(AQ751="7",BI751,0)</f>
        <v>0</v>
      </c>
      <c r="AF751" s="34">
        <f>IF(AQ751="2",BH751,0)</f>
        <v>0</v>
      </c>
      <c r="AG751" s="34">
        <f>IF(AQ751="2",BI751,0)</f>
        <v>0</v>
      </c>
      <c r="AH751" s="34">
        <f>IF(AQ751="0",BJ751,0)</f>
        <v>0</v>
      </c>
      <c r="AI751" s="28" t="s">
        <v>1022</v>
      </c>
      <c r="AJ751" s="18">
        <f>IF(AN751=0,K751,0)</f>
        <v>0</v>
      </c>
      <c r="AK751" s="18">
        <f>IF(AN751=15,K751,0)</f>
        <v>0</v>
      </c>
      <c r="AL751" s="18">
        <f>IF(AN751=21,K751,0)</f>
        <v>0</v>
      </c>
      <c r="AN751" s="34">
        <v>21</v>
      </c>
      <c r="AO751" s="34">
        <f>H751*0</f>
        <v>0</v>
      </c>
      <c r="AP751" s="34">
        <f>H751*(1-0)</f>
        <v>0</v>
      </c>
      <c r="AQ751" s="29" t="s">
        <v>7</v>
      </c>
      <c r="AV751" s="34">
        <f>AW751+AX751</f>
        <v>0</v>
      </c>
      <c r="AW751" s="34">
        <f>G751*AO751</f>
        <v>0</v>
      </c>
      <c r="AX751" s="34">
        <f>G751*AP751</f>
        <v>0</v>
      </c>
      <c r="AY751" s="35" t="s">
        <v>1060</v>
      </c>
      <c r="AZ751" s="35" t="s">
        <v>1082</v>
      </c>
      <c r="BA751" s="28" t="s">
        <v>1087</v>
      </c>
      <c r="BC751" s="34">
        <f>AW751+AX751</f>
        <v>0</v>
      </c>
      <c r="BD751" s="34">
        <f>H751/(100-BE751)*100</f>
        <v>0</v>
      </c>
      <c r="BE751" s="34">
        <v>0</v>
      </c>
      <c r="BF751" s="34">
        <f>751</f>
        <v>751</v>
      </c>
      <c r="BH751" s="18">
        <f>G751*AO751</f>
        <v>0</v>
      </c>
      <c r="BI751" s="18">
        <f>G751*AP751</f>
        <v>0</v>
      </c>
      <c r="BJ751" s="18">
        <f>G751*H751</f>
        <v>0</v>
      </c>
    </row>
    <row r="752" spans="3:7" ht="12.75">
      <c r="C752" s="101" t="s">
        <v>13</v>
      </c>
      <c r="D752" s="102"/>
      <c r="E752" s="102"/>
      <c r="G752" s="64">
        <v>8</v>
      </c>
    </row>
    <row r="753" spans="1:62" ht="12.75">
      <c r="A753" s="5" t="s">
        <v>308</v>
      </c>
      <c r="B753" s="5" t="s">
        <v>511</v>
      </c>
      <c r="C753" s="99" t="s">
        <v>955</v>
      </c>
      <c r="D753" s="100"/>
      <c r="E753" s="100"/>
      <c r="F753" s="5" t="s">
        <v>989</v>
      </c>
      <c r="G753" s="63">
        <v>25</v>
      </c>
      <c r="H753" s="18">
        <v>0</v>
      </c>
      <c r="I753" s="18">
        <f>G753*AO753</f>
        <v>0</v>
      </c>
      <c r="J753" s="18">
        <f>G753*AP753</f>
        <v>0</v>
      </c>
      <c r="K753" s="18">
        <f>G753*H753</f>
        <v>0</v>
      </c>
      <c r="L753" s="29"/>
      <c r="Z753" s="34">
        <f>IF(AQ753="5",BJ753,0)</f>
        <v>0</v>
      </c>
      <c r="AB753" s="34">
        <f>IF(AQ753="1",BH753,0)</f>
        <v>0</v>
      </c>
      <c r="AC753" s="34">
        <f>IF(AQ753="1",BI753,0)</f>
        <v>0</v>
      </c>
      <c r="AD753" s="34">
        <f>IF(AQ753="7",BH753,0)</f>
        <v>0</v>
      </c>
      <c r="AE753" s="34">
        <f>IF(AQ753="7",BI753,0)</f>
        <v>0</v>
      </c>
      <c r="AF753" s="34">
        <f>IF(AQ753="2",BH753,0)</f>
        <v>0</v>
      </c>
      <c r="AG753" s="34">
        <f>IF(AQ753="2",BI753,0)</f>
        <v>0</v>
      </c>
      <c r="AH753" s="34">
        <f>IF(AQ753="0",BJ753,0)</f>
        <v>0</v>
      </c>
      <c r="AI753" s="28" t="s">
        <v>1022</v>
      </c>
      <c r="AJ753" s="18">
        <f>IF(AN753=0,K753,0)</f>
        <v>0</v>
      </c>
      <c r="AK753" s="18">
        <f>IF(AN753=15,K753,0)</f>
        <v>0</v>
      </c>
      <c r="AL753" s="18">
        <f>IF(AN753=21,K753,0)</f>
        <v>0</v>
      </c>
      <c r="AN753" s="34">
        <v>21</v>
      </c>
      <c r="AO753" s="34">
        <f>H753*0</f>
        <v>0</v>
      </c>
      <c r="AP753" s="34">
        <f>H753*(1-0)</f>
        <v>0</v>
      </c>
      <c r="AQ753" s="29" t="s">
        <v>7</v>
      </c>
      <c r="AV753" s="34">
        <f>AW753+AX753</f>
        <v>0</v>
      </c>
      <c r="AW753" s="34">
        <f>G753*AO753</f>
        <v>0</v>
      </c>
      <c r="AX753" s="34">
        <f>G753*AP753</f>
        <v>0</v>
      </c>
      <c r="AY753" s="35" t="s">
        <v>1060</v>
      </c>
      <c r="AZ753" s="35" t="s">
        <v>1082</v>
      </c>
      <c r="BA753" s="28" t="s">
        <v>1087</v>
      </c>
      <c r="BC753" s="34">
        <f>AW753+AX753</f>
        <v>0</v>
      </c>
      <c r="BD753" s="34">
        <f>H753/(100-BE753)*100</f>
        <v>0</v>
      </c>
      <c r="BE753" s="34">
        <v>0</v>
      </c>
      <c r="BF753" s="34">
        <f>753</f>
        <v>753</v>
      </c>
      <c r="BH753" s="18">
        <f>G753*AO753</f>
        <v>0</v>
      </c>
      <c r="BI753" s="18">
        <f>G753*AP753</f>
        <v>0</v>
      </c>
      <c r="BJ753" s="18">
        <f>G753*H753</f>
        <v>0</v>
      </c>
    </row>
    <row r="754" spans="3:7" ht="12.75">
      <c r="C754" s="101" t="s">
        <v>30</v>
      </c>
      <c r="D754" s="102"/>
      <c r="E754" s="102"/>
      <c r="G754" s="64">
        <v>25</v>
      </c>
    </row>
    <row r="755" spans="1:62" ht="12.75">
      <c r="A755" s="5" t="s">
        <v>309</v>
      </c>
      <c r="B755" s="5" t="s">
        <v>512</v>
      </c>
      <c r="C755" s="99" t="s">
        <v>956</v>
      </c>
      <c r="D755" s="100"/>
      <c r="E755" s="100"/>
      <c r="F755" s="5" t="s">
        <v>992</v>
      </c>
      <c r="G755" s="63">
        <v>24006.465</v>
      </c>
      <c r="H755" s="18">
        <v>0</v>
      </c>
      <c r="I755" s="18">
        <f>G755*AO755</f>
        <v>0</v>
      </c>
      <c r="J755" s="18">
        <f>G755*AP755</f>
        <v>0</v>
      </c>
      <c r="K755" s="18">
        <f>G755*H755</f>
        <v>0</v>
      </c>
      <c r="L755" s="29"/>
      <c r="Z755" s="34">
        <f>IF(AQ755="5",BJ755,0)</f>
        <v>0</v>
      </c>
      <c r="AB755" s="34">
        <f>IF(AQ755="1",BH755,0)</f>
        <v>0</v>
      </c>
      <c r="AC755" s="34">
        <f>IF(AQ755="1",BI755,0)</f>
        <v>0</v>
      </c>
      <c r="AD755" s="34">
        <f>IF(AQ755="7",BH755,0)</f>
        <v>0</v>
      </c>
      <c r="AE755" s="34">
        <f>IF(AQ755="7",BI755,0)</f>
        <v>0</v>
      </c>
      <c r="AF755" s="34">
        <f>IF(AQ755="2",BH755,0)</f>
        <v>0</v>
      </c>
      <c r="AG755" s="34">
        <f>IF(AQ755="2",BI755,0)</f>
        <v>0</v>
      </c>
      <c r="AH755" s="34">
        <f>IF(AQ755="0",BJ755,0)</f>
        <v>0</v>
      </c>
      <c r="AI755" s="28" t="s">
        <v>1022</v>
      </c>
      <c r="AJ755" s="18">
        <f>IF(AN755=0,K755,0)</f>
        <v>0</v>
      </c>
      <c r="AK755" s="18">
        <f>IF(AN755=15,K755,0)</f>
        <v>0</v>
      </c>
      <c r="AL755" s="18">
        <f>IF(AN755=21,K755,0)</f>
        <v>0</v>
      </c>
      <c r="AN755" s="34">
        <v>21</v>
      </c>
      <c r="AO755" s="34">
        <f>H755*0</f>
        <v>0</v>
      </c>
      <c r="AP755" s="34">
        <f>H755*(1-0)</f>
        <v>0</v>
      </c>
      <c r="AQ755" s="29" t="s">
        <v>7</v>
      </c>
      <c r="AV755" s="34">
        <f>AW755+AX755</f>
        <v>0</v>
      </c>
      <c r="AW755" s="34">
        <f>G755*AO755</f>
        <v>0</v>
      </c>
      <c r="AX755" s="34">
        <f>G755*AP755</f>
        <v>0</v>
      </c>
      <c r="AY755" s="35" t="s">
        <v>1060</v>
      </c>
      <c r="AZ755" s="35" t="s">
        <v>1082</v>
      </c>
      <c r="BA755" s="28" t="s">
        <v>1087</v>
      </c>
      <c r="BC755" s="34">
        <f>AW755+AX755</f>
        <v>0</v>
      </c>
      <c r="BD755" s="34">
        <f>H755/(100-BE755)*100</f>
        <v>0</v>
      </c>
      <c r="BE755" s="34">
        <v>0</v>
      </c>
      <c r="BF755" s="34">
        <f>755</f>
        <v>755</v>
      </c>
      <c r="BH755" s="18">
        <f>G755*AO755</f>
        <v>0</v>
      </c>
      <c r="BI755" s="18">
        <f>G755*AP755</f>
        <v>0</v>
      </c>
      <c r="BJ755" s="18">
        <f>G755*H755</f>
        <v>0</v>
      </c>
    </row>
    <row r="756" spans="3:7" ht="12.75">
      <c r="C756" s="101" t="s">
        <v>957</v>
      </c>
      <c r="D756" s="102"/>
      <c r="E756" s="102"/>
      <c r="G756" s="64">
        <v>24006.465</v>
      </c>
    </row>
    <row r="757" spans="1:62" ht="12.75">
      <c r="A757" s="5" t="s">
        <v>310</v>
      </c>
      <c r="B757" s="5" t="s">
        <v>513</v>
      </c>
      <c r="C757" s="99" t="s">
        <v>958</v>
      </c>
      <c r="D757" s="100"/>
      <c r="E757" s="100"/>
      <c r="F757" s="5" t="s">
        <v>992</v>
      </c>
      <c r="G757" s="63">
        <v>24006.465</v>
      </c>
      <c r="H757" s="18">
        <v>0</v>
      </c>
      <c r="I757" s="18">
        <f>G757*AO757</f>
        <v>0</v>
      </c>
      <c r="J757" s="18">
        <f>G757*AP757</f>
        <v>0</v>
      </c>
      <c r="K757" s="18">
        <f>G757*H757</f>
        <v>0</v>
      </c>
      <c r="L757" s="29"/>
      <c r="Z757" s="34">
        <f>IF(AQ757="5",BJ757,0)</f>
        <v>0</v>
      </c>
      <c r="AB757" s="34">
        <f>IF(AQ757="1",BH757,0)</f>
        <v>0</v>
      </c>
      <c r="AC757" s="34">
        <f>IF(AQ757="1",BI757,0)</f>
        <v>0</v>
      </c>
      <c r="AD757" s="34">
        <f>IF(AQ757="7",BH757,0)</f>
        <v>0</v>
      </c>
      <c r="AE757" s="34">
        <f>IF(AQ757="7",BI757,0)</f>
        <v>0</v>
      </c>
      <c r="AF757" s="34">
        <f>IF(AQ757="2",BH757,0)</f>
        <v>0</v>
      </c>
      <c r="AG757" s="34">
        <f>IF(AQ757="2",BI757,0)</f>
        <v>0</v>
      </c>
      <c r="AH757" s="34">
        <f>IF(AQ757="0",BJ757,0)</f>
        <v>0</v>
      </c>
      <c r="AI757" s="28" t="s">
        <v>1022</v>
      </c>
      <c r="AJ757" s="18">
        <f>IF(AN757=0,K757,0)</f>
        <v>0</v>
      </c>
      <c r="AK757" s="18">
        <f>IF(AN757=15,K757,0)</f>
        <v>0</v>
      </c>
      <c r="AL757" s="18">
        <f>IF(AN757=21,K757,0)</f>
        <v>0</v>
      </c>
      <c r="AN757" s="34">
        <v>21</v>
      </c>
      <c r="AO757" s="34">
        <f>H757*0</f>
        <v>0</v>
      </c>
      <c r="AP757" s="34">
        <f>H757*(1-0)</f>
        <v>0</v>
      </c>
      <c r="AQ757" s="29" t="s">
        <v>7</v>
      </c>
      <c r="AV757" s="34">
        <f>AW757+AX757</f>
        <v>0</v>
      </c>
      <c r="AW757" s="34">
        <f>G757*AO757</f>
        <v>0</v>
      </c>
      <c r="AX757" s="34">
        <f>G757*AP757</f>
        <v>0</v>
      </c>
      <c r="AY757" s="35" t="s">
        <v>1060</v>
      </c>
      <c r="AZ757" s="35" t="s">
        <v>1082</v>
      </c>
      <c r="BA757" s="28" t="s">
        <v>1087</v>
      </c>
      <c r="BC757" s="34">
        <f>AW757+AX757</f>
        <v>0</v>
      </c>
      <c r="BD757" s="34">
        <f>H757/(100-BE757)*100</f>
        <v>0</v>
      </c>
      <c r="BE757" s="34">
        <v>0</v>
      </c>
      <c r="BF757" s="34">
        <f>757</f>
        <v>757</v>
      </c>
      <c r="BH757" s="18">
        <f>G757*AO757</f>
        <v>0</v>
      </c>
      <c r="BI757" s="18">
        <f>G757*AP757</f>
        <v>0</v>
      </c>
      <c r="BJ757" s="18">
        <f>G757*H757</f>
        <v>0</v>
      </c>
    </row>
    <row r="758" spans="3:7" ht="12.75">
      <c r="C758" s="101" t="s">
        <v>957</v>
      </c>
      <c r="D758" s="102"/>
      <c r="E758" s="102"/>
      <c r="G758" s="64">
        <v>24006.465</v>
      </c>
    </row>
    <row r="759" spans="1:12" ht="12.75">
      <c r="A759" s="7"/>
      <c r="B759" s="15"/>
      <c r="C759" s="105" t="s">
        <v>959</v>
      </c>
      <c r="D759" s="106"/>
      <c r="E759" s="106"/>
      <c r="F759" s="7" t="s">
        <v>5</v>
      </c>
      <c r="G759" s="7" t="s">
        <v>5</v>
      </c>
      <c r="H759" s="7" t="s">
        <v>5</v>
      </c>
      <c r="I759" s="38">
        <f>I760+I765+I770+I775</f>
        <v>0</v>
      </c>
      <c r="J759" s="38">
        <f>J760+J765+J770+J775</f>
        <v>0</v>
      </c>
      <c r="K759" s="38">
        <f>K760+K765+K770+K775</f>
        <v>0</v>
      </c>
      <c r="L759" s="31"/>
    </row>
    <row r="760" spans="1:47" ht="12.75">
      <c r="A760" s="4"/>
      <c r="B760" s="14" t="s">
        <v>23</v>
      </c>
      <c r="C760" s="97" t="s">
        <v>550</v>
      </c>
      <c r="D760" s="98"/>
      <c r="E760" s="98"/>
      <c r="F760" s="4" t="s">
        <v>5</v>
      </c>
      <c r="G760" s="4" t="s">
        <v>5</v>
      </c>
      <c r="H760" s="4" t="s">
        <v>5</v>
      </c>
      <c r="I760" s="37">
        <f>SUM(I761:I763)</f>
        <v>0</v>
      </c>
      <c r="J760" s="37">
        <f>SUM(J761:J763)</f>
        <v>0</v>
      </c>
      <c r="K760" s="37">
        <f>SUM(K761:K763)</f>
        <v>0</v>
      </c>
      <c r="L760" s="28"/>
      <c r="AI760" s="28" t="s">
        <v>1023</v>
      </c>
      <c r="AS760" s="37">
        <f>SUM(AJ761:AJ763)</f>
        <v>0</v>
      </c>
      <c r="AT760" s="37">
        <f>SUM(AK761:AK763)</f>
        <v>0</v>
      </c>
      <c r="AU760" s="37">
        <f>SUM(AL761:AL763)</f>
        <v>0</v>
      </c>
    </row>
    <row r="761" spans="1:62" ht="12.75">
      <c r="A761" s="5" t="s">
        <v>311</v>
      </c>
      <c r="B761" s="5" t="s">
        <v>514</v>
      </c>
      <c r="C761" s="99" t="s">
        <v>960</v>
      </c>
      <c r="D761" s="100"/>
      <c r="E761" s="100"/>
      <c r="F761" s="5" t="s">
        <v>984</v>
      </c>
      <c r="G761" s="63">
        <v>29.4</v>
      </c>
      <c r="H761" s="18">
        <v>0</v>
      </c>
      <c r="I761" s="18">
        <f>G761*AO761</f>
        <v>0</v>
      </c>
      <c r="J761" s="18">
        <f>G761*AP761</f>
        <v>0</v>
      </c>
      <c r="K761" s="18">
        <f>G761*H761</f>
        <v>0</v>
      </c>
      <c r="L761" s="29"/>
      <c r="Z761" s="34">
        <f>IF(AQ761="5",BJ761,0)</f>
        <v>0</v>
      </c>
      <c r="AB761" s="34">
        <f>IF(AQ761="1",BH761,0)</f>
        <v>0</v>
      </c>
      <c r="AC761" s="34">
        <f>IF(AQ761="1",BI761,0)</f>
        <v>0</v>
      </c>
      <c r="AD761" s="34">
        <f>IF(AQ761="7",BH761,0)</f>
        <v>0</v>
      </c>
      <c r="AE761" s="34">
        <f>IF(AQ761="7",BI761,0)</f>
        <v>0</v>
      </c>
      <c r="AF761" s="34">
        <f>IF(AQ761="2",BH761,0)</f>
        <v>0</v>
      </c>
      <c r="AG761" s="34">
        <f>IF(AQ761="2",BI761,0)</f>
        <v>0</v>
      </c>
      <c r="AH761" s="34">
        <f>IF(AQ761="0",BJ761,0)</f>
        <v>0</v>
      </c>
      <c r="AI761" s="28" t="s">
        <v>1023</v>
      </c>
      <c r="AJ761" s="18">
        <f>IF(AN761=0,K761,0)</f>
        <v>0</v>
      </c>
      <c r="AK761" s="18">
        <f>IF(AN761=15,K761,0)</f>
        <v>0</v>
      </c>
      <c r="AL761" s="18">
        <f>IF(AN761=21,K761,0)</f>
        <v>0</v>
      </c>
      <c r="AN761" s="34">
        <v>21</v>
      </c>
      <c r="AO761" s="34">
        <f>H761*0.192623530510668</f>
        <v>0</v>
      </c>
      <c r="AP761" s="34">
        <f>H761*(1-0.192623530510668)</f>
        <v>0</v>
      </c>
      <c r="AQ761" s="29" t="s">
        <v>6</v>
      </c>
      <c r="AV761" s="34">
        <f>AW761+AX761</f>
        <v>0</v>
      </c>
      <c r="AW761" s="34">
        <f>G761*AO761</f>
        <v>0</v>
      </c>
      <c r="AX761" s="34">
        <f>G761*AP761</f>
        <v>0</v>
      </c>
      <c r="AY761" s="35" t="s">
        <v>1028</v>
      </c>
      <c r="AZ761" s="35" t="s">
        <v>1083</v>
      </c>
      <c r="BA761" s="28" t="s">
        <v>1088</v>
      </c>
      <c r="BC761" s="34">
        <f>AW761+AX761</f>
        <v>0</v>
      </c>
      <c r="BD761" s="34">
        <f>H761/(100-BE761)*100</f>
        <v>0</v>
      </c>
      <c r="BE761" s="34">
        <v>0</v>
      </c>
      <c r="BF761" s="34">
        <f>761</f>
        <v>761</v>
      </c>
      <c r="BH761" s="18">
        <f>G761*AO761</f>
        <v>0</v>
      </c>
      <c r="BI761" s="18">
        <f>G761*AP761</f>
        <v>0</v>
      </c>
      <c r="BJ761" s="18">
        <f>G761*H761</f>
        <v>0</v>
      </c>
    </row>
    <row r="762" spans="3:7" ht="12.75">
      <c r="C762" s="101" t="s">
        <v>961</v>
      </c>
      <c r="D762" s="102"/>
      <c r="E762" s="102"/>
      <c r="G762" s="64">
        <v>29.4</v>
      </c>
    </row>
    <row r="763" spans="1:62" ht="12.75">
      <c r="A763" s="5" t="s">
        <v>312</v>
      </c>
      <c r="B763" s="5" t="s">
        <v>515</v>
      </c>
      <c r="C763" s="99" t="s">
        <v>962</v>
      </c>
      <c r="D763" s="100"/>
      <c r="E763" s="100"/>
      <c r="F763" s="5" t="s">
        <v>984</v>
      </c>
      <c r="G763" s="63">
        <v>29.4</v>
      </c>
      <c r="H763" s="18">
        <v>0</v>
      </c>
      <c r="I763" s="18">
        <f>G763*AO763</f>
        <v>0</v>
      </c>
      <c r="J763" s="18">
        <f>G763*AP763</f>
        <v>0</v>
      </c>
      <c r="K763" s="18">
        <f>G763*H763</f>
        <v>0</v>
      </c>
      <c r="L763" s="29"/>
      <c r="Z763" s="34">
        <f>IF(AQ763="5",BJ763,0)</f>
        <v>0</v>
      </c>
      <c r="AB763" s="34">
        <f>IF(AQ763="1",BH763,0)</f>
        <v>0</v>
      </c>
      <c r="AC763" s="34">
        <f>IF(AQ763="1",BI763,0)</f>
        <v>0</v>
      </c>
      <c r="AD763" s="34">
        <f>IF(AQ763="7",BH763,0)</f>
        <v>0</v>
      </c>
      <c r="AE763" s="34">
        <f>IF(AQ763="7",BI763,0)</f>
        <v>0</v>
      </c>
      <c r="AF763" s="34">
        <f>IF(AQ763="2",BH763,0)</f>
        <v>0</v>
      </c>
      <c r="AG763" s="34">
        <f>IF(AQ763="2",BI763,0)</f>
        <v>0</v>
      </c>
      <c r="AH763" s="34">
        <f>IF(AQ763="0",BJ763,0)</f>
        <v>0</v>
      </c>
      <c r="AI763" s="28" t="s">
        <v>1023</v>
      </c>
      <c r="AJ763" s="18">
        <f>IF(AN763=0,K763,0)</f>
        <v>0</v>
      </c>
      <c r="AK763" s="18">
        <f>IF(AN763=15,K763,0)</f>
        <v>0</v>
      </c>
      <c r="AL763" s="18">
        <f>IF(AN763=21,K763,0)</f>
        <v>0</v>
      </c>
      <c r="AN763" s="34">
        <v>21</v>
      </c>
      <c r="AO763" s="34">
        <f>H763*0</f>
        <v>0</v>
      </c>
      <c r="AP763" s="34">
        <f>H763*(1-0)</f>
        <v>0</v>
      </c>
      <c r="AQ763" s="29" t="s">
        <v>6</v>
      </c>
      <c r="AV763" s="34">
        <f>AW763+AX763</f>
        <v>0</v>
      </c>
      <c r="AW763" s="34">
        <f>G763*AO763</f>
        <v>0</v>
      </c>
      <c r="AX763" s="34">
        <f>G763*AP763</f>
        <v>0</v>
      </c>
      <c r="AY763" s="35" t="s">
        <v>1028</v>
      </c>
      <c r="AZ763" s="35" t="s">
        <v>1083</v>
      </c>
      <c r="BA763" s="28" t="s">
        <v>1088</v>
      </c>
      <c r="BC763" s="34">
        <f>AW763+AX763</f>
        <v>0</v>
      </c>
      <c r="BD763" s="34">
        <f>H763/(100-BE763)*100</f>
        <v>0</v>
      </c>
      <c r="BE763" s="34">
        <v>0</v>
      </c>
      <c r="BF763" s="34">
        <f>763</f>
        <v>763</v>
      </c>
      <c r="BH763" s="18">
        <f>G763*AO763</f>
        <v>0</v>
      </c>
      <c r="BI763" s="18">
        <f>G763*AP763</f>
        <v>0</v>
      </c>
      <c r="BJ763" s="18">
        <f>G763*H763</f>
        <v>0</v>
      </c>
    </row>
    <row r="764" spans="3:7" ht="12.75">
      <c r="C764" s="101" t="s">
        <v>963</v>
      </c>
      <c r="D764" s="102"/>
      <c r="E764" s="102"/>
      <c r="G764" s="64">
        <v>29.4</v>
      </c>
    </row>
    <row r="765" spans="1:47" ht="12.75">
      <c r="A765" s="4"/>
      <c r="B765" s="14" t="s">
        <v>516</v>
      </c>
      <c r="C765" s="97" t="s">
        <v>964</v>
      </c>
      <c r="D765" s="98"/>
      <c r="E765" s="98"/>
      <c r="F765" s="4" t="s">
        <v>5</v>
      </c>
      <c r="G765" s="4" t="s">
        <v>5</v>
      </c>
      <c r="H765" s="4" t="s">
        <v>5</v>
      </c>
      <c r="I765" s="37">
        <f>SUM(I766:I768)</f>
        <v>0</v>
      </c>
      <c r="J765" s="37">
        <f>SUM(J766:J768)</f>
        <v>0</v>
      </c>
      <c r="K765" s="37">
        <f>SUM(K766:K768)</f>
        <v>0</v>
      </c>
      <c r="L765" s="28"/>
      <c r="AI765" s="28" t="s">
        <v>1023</v>
      </c>
      <c r="AS765" s="37">
        <f>SUM(AJ766:AJ768)</f>
        <v>0</v>
      </c>
      <c r="AT765" s="37">
        <f>SUM(AK766:AK768)</f>
        <v>0</v>
      </c>
      <c r="AU765" s="37">
        <f>SUM(AL766:AL768)</f>
        <v>0</v>
      </c>
    </row>
    <row r="766" spans="1:62" ht="12.75">
      <c r="A766" s="5" t="s">
        <v>313</v>
      </c>
      <c r="B766" s="5" t="s">
        <v>517</v>
      </c>
      <c r="C766" s="99" t="s">
        <v>965</v>
      </c>
      <c r="D766" s="100"/>
      <c r="E766" s="100"/>
      <c r="F766" s="5" t="s">
        <v>987</v>
      </c>
      <c r="G766" s="63">
        <v>0.46</v>
      </c>
      <c r="H766" s="18">
        <v>0</v>
      </c>
      <c r="I766" s="18">
        <f>G766*AO766</f>
        <v>0</v>
      </c>
      <c r="J766" s="18">
        <f>G766*AP766</f>
        <v>0</v>
      </c>
      <c r="K766" s="18">
        <f>G766*H766</f>
        <v>0</v>
      </c>
      <c r="L766" s="29"/>
      <c r="Z766" s="34">
        <f>IF(AQ766="5",BJ766,0)</f>
        <v>0</v>
      </c>
      <c r="AB766" s="34">
        <f>IF(AQ766="1",BH766,0)</f>
        <v>0</v>
      </c>
      <c r="AC766" s="34">
        <f>IF(AQ766="1",BI766,0)</f>
        <v>0</v>
      </c>
      <c r="AD766" s="34">
        <f>IF(AQ766="7",BH766,0)</f>
        <v>0</v>
      </c>
      <c r="AE766" s="34">
        <f>IF(AQ766="7",BI766,0)</f>
        <v>0</v>
      </c>
      <c r="AF766" s="34">
        <f>IF(AQ766="2",BH766,0)</f>
        <v>0</v>
      </c>
      <c r="AG766" s="34">
        <f>IF(AQ766="2",BI766,0)</f>
        <v>0</v>
      </c>
      <c r="AH766" s="34">
        <f>IF(AQ766="0",BJ766,0)</f>
        <v>0</v>
      </c>
      <c r="AI766" s="28" t="s">
        <v>1023</v>
      </c>
      <c r="AJ766" s="18">
        <f>IF(AN766=0,K766,0)</f>
        <v>0</v>
      </c>
      <c r="AK766" s="18">
        <f>IF(AN766=15,K766,0)</f>
        <v>0</v>
      </c>
      <c r="AL766" s="18">
        <f>IF(AN766=21,K766,0)</f>
        <v>0</v>
      </c>
      <c r="AN766" s="34">
        <v>21</v>
      </c>
      <c r="AO766" s="34">
        <f>H766*0</f>
        <v>0</v>
      </c>
      <c r="AP766" s="34">
        <f>H766*(1-0)</f>
        <v>0</v>
      </c>
      <c r="AQ766" s="29" t="s">
        <v>10</v>
      </c>
      <c r="AV766" s="34">
        <f>AW766+AX766</f>
        <v>0</v>
      </c>
      <c r="AW766" s="34">
        <f>G766*AO766</f>
        <v>0</v>
      </c>
      <c r="AX766" s="34">
        <f>G766*AP766</f>
        <v>0</v>
      </c>
      <c r="AY766" s="35" t="s">
        <v>1061</v>
      </c>
      <c r="AZ766" s="35" t="s">
        <v>1084</v>
      </c>
      <c r="BA766" s="28" t="s">
        <v>1088</v>
      </c>
      <c r="BC766" s="34">
        <f>AW766+AX766</f>
        <v>0</v>
      </c>
      <c r="BD766" s="34">
        <f>H766/(100-BE766)*100</f>
        <v>0</v>
      </c>
      <c r="BE766" s="34">
        <v>0</v>
      </c>
      <c r="BF766" s="34">
        <f>766</f>
        <v>766</v>
      </c>
      <c r="BH766" s="18">
        <f>G766*AO766</f>
        <v>0</v>
      </c>
      <c r="BI766" s="18">
        <f>G766*AP766</f>
        <v>0</v>
      </c>
      <c r="BJ766" s="18">
        <f>G766*H766</f>
        <v>0</v>
      </c>
    </row>
    <row r="767" spans="3:7" ht="12.75">
      <c r="C767" s="101" t="s">
        <v>966</v>
      </c>
      <c r="D767" s="102"/>
      <c r="E767" s="102"/>
      <c r="G767" s="64">
        <v>0.46</v>
      </c>
    </row>
    <row r="768" spans="1:62" ht="12.75">
      <c r="A768" s="5" t="s">
        <v>314</v>
      </c>
      <c r="B768" s="5" t="s">
        <v>518</v>
      </c>
      <c r="C768" s="99" t="s">
        <v>967</v>
      </c>
      <c r="D768" s="100"/>
      <c r="E768" s="100"/>
      <c r="F768" s="5" t="s">
        <v>987</v>
      </c>
      <c r="G768" s="63">
        <v>46</v>
      </c>
      <c r="H768" s="18">
        <v>0</v>
      </c>
      <c r="I768" s="18">
        <f>G768*AO768</f>
        <v>0</v>
      </c>
      <c r="J768" s="18">
        <f>G768*AP768</f>
        <v>0</v>
      </c>
      <c r="K768" s="18">
        <f>G768*H768</f>
        <v>0</v>
      </c>
      <c r="L768" s="29"/>
      <c r="Z768" s="34">
        <f>IF(AQ768="5",BJ768,0)</f>
        <v>0</v>
      </c>
      <c r="AB768" s="34">
        <f>IF(AQ768="1",BH768,0)</f>
        <v>0</v>
      </c>
      <c r="AC768" s="34">
        <f>IF(AQ768="1",BI768,0)</f>
        <v>0</v>
      </c>
      <c r="AD768" s="34">
        <f>IF(AQ768="7",BH768,0)</f>
        <v>0</v>
      </c>
      <c r="AE768" s="34">
        <f>IF(AQ768="7",BI768,0)</f>
        <v>0</v>
      </c>
      <c r="AF768" s="34">
        <f>IF(AQ768="2",BH768,0)</f>
        <v>0</v>
      </c>
      <c r="AG768" s="34">
        <f>IF(AQ768="2",BI768,0)</f>
        <v>0</v>
      </c>
      <c r="AH768" s="34">
        <f>IF(AQ768="0",BJ768,0)</f>
        <v>0</v>
      </c>
      <c r="AI768" s="28" t="s">
        <v>1023</v>
      </c>
      <c r="AJ768" s="18">
        <f>IF(AN768=0,K768,0)</f>
        <v>0</v>
      </c>
      <c r="AK768" s="18">
        <f>IF(AN768=15,K768,0)</f>
        <v>0</v>
      </c>
      <c r="AL768" s="18">
        <f>IF(AN768=21,K768,0)</f>
        <v>0</v>
      </c>
      <c r="AN768" s="34">
        <v>21</v>
      </c>
      <c r="AO768" s="34">
        <f>H768*0</f>
        <v>0</v>
      </c>
      <c r="AP768" s="34">
        <f>H768*(1-0)</f>
        <v>0</v>
      </c>
      <c r="AQ768" s="29" t="s">
        <v>10</v>
      </c>
      <c r="AV768" s="34">
        <f>AW768+AX768</f>
        <v>0</v>
      </c>
      <c r="AW768" s="34">
        <f>G768*AO768</f>
        <v>0</v>
      </c>
      <c r="AX768" s="34">
        <f>G768*AP768</f>
        <v>0</v>
      </c>
      <c r="AY768" s="35" t="s">
        <v>1061</v>
      </c>
      <c r="AZ768" s="35" t="s">
        <v>1084</v>
      </c>
      <c r="BA768" s="28" t="s">
        <v>1088</v>
      </c>
      <c r="BC768" s="34">
        <f>AW768+AX768</f>
        <v>0</v>
      </c>
      <c r="BD768" s="34">
        <f>H768/(100-BE768)*100</f>
        <v>0</v>
      </c>
      <c r="BE768" s="34">
        <v>0</v>
      </c>
      <c r="BF768" s="34">
        <f>768</f>
        <v>768</v>
      </c>
      <c r="BH768" s="18">
        <f>G768*AO768</f>
        <v>0</v>
      </c>
      <c r="BI768" s="18">
        <f>G768*AP768</f>
        <v>0</v>
      </c>
      <c r="BJ768" s="18">
        <f>G768*H768</f>
        <v>0</v>
      </c>
    </row>
    <row r="769" spans="3:7" ht="12.75">
      <c r="C769" s="101" t="s">
        <v>968</v>
      </c>
      <c r="D769" s="102"/>
      <c r="E769" s="102"/>
      <c r="G769" s="64">
        <v>46</v>
      </c>
    </row>
    <row r="770" spans="1:47" ht="12.75">
      <c r="A770" s="4"/>
      <c r="B770" s="14" t="s">
        <v>448</v>
      </c>
      <c r="C770" s="97" t="s">
        <v>765</v>
      </c>
      <c r="D770" s="98"/>
      <c r="E770" s="98"/>
      <c r="F770" s="4" t="s">
        <v>5</v>
      </c>
      <c r="G770" s="4" t="s">
        <v>5</v>
      </c>
      <c r="H770" s="4" t="s">
        <v>5</v>
      </c>
      <c r="I770" s="37">
        <f>SUM(I771:I773)</f>
        <v>0</v>
      </c>
      <c r="J770" s="37">
        <f>SUM(J771:J773)</f>
        <v>0</v>
      </c>
      <c r="K770" s="37">
        <f>SUM(K771:K773)</f>
        <v>0</v>
      </c>
      <c r="L770" s="28"/>
      <c r="AI770" s="28" t="s">
        <v>1023</v>
      </c>
      <c r="AS770" s="37">
        <f>SUM(AJ771:AJ773)</f>
        <v>0</v>
      </c>
      <c r="AT770" s="37">
        <f>SUM(AK771:AK773)</f>
        <v>0</v>
      </c>
      <c r="AU770" s="37">
        <f>SUM(AL771:AL773)</f>
        <v>0</v>
      </c>
    </row>
    <row r="771" spans="1:62" ht="12.75">
      <c r="A771" s="5" t="s">
        <v>315</v>
      </c>
      <c r="B771" s="5" t="s">
        <v>519</v>
      </c>
      <c r="C771" s="99" t="s">
        <v>969</v>
      </c>
      <c r="D771" s="100"/>
      <c r="E771" s="100"/>
      <c r="F771" s="5" t="s">
        <v>988</v>
      </c>
      <c r="G771" s="63">
        <v>1</v>
      </c>
      <c r="H771" s="18">
        <v>0</v>
      </c>
      <c r="I771" s="18">
        <f>G771*AO771</f>
        <v>0</v>
      </c>
      <c r="J771" s="18">
        <f>G771*AP771</f>
        <v>0</v>
      </c>
      <c r="K771" s="18">
        <f>G771*H771</f>
        <v>0</v>
      </c>
      <c r="L771" s="29"/>
      <c r="Z771" s="34">
        <f>IF(AQ771="5",BJ771,0)</f>
        <v>0</v>
      </c>
      <c r="AB771" s="34">
        <f>IF(AQ771="1",BH771,0)</f>
        <v>0</v>
      </c>
      <c r="AC771" s="34">
        <f>IF(AQ771="1",BI771,0)</f>
        <v>0</v>
      </c>
      <c r="AD771" s="34">
        <f>IF(AQ771="7",BH771,0)</f>
        <v>0</v>
      </c>
      <c r="AE771" s="34">
        <f>IF(AQ771="7",BI771,0)</f>
        <v>0</v>
      </c>
      <c r="AF771" s="34">
        <f>IF(AQ771="2",BH771,0)</f>
        <v>0</v>
      </c>
      <c r="AG771" s="34">
        <f>IF(AQ771="2",BI771,0)</f>
        <v>0</v>
      </c>
      <c r="AH771" s="34">
        <f>IF(AQ771="0",BJ771,0)</f>
        <v>0</v>
      </c>
      <c r="AI771" s="28" t="s">
        <v>1023</v>
      </c>
      <c r="AJ771" s="18">
        <f>IF(AN771=0,K771,0)</f>
        <v>0</v>
      </c>
      <c r="AK771" s="18">
        <f>IF(AN771=15,K771,0)</f>
        <v>0</v>
      </c>
      <c r="AL771" s="18">
        <f>IF(AN771=21,K771,0)</f>
        <v>0</v>
      </c>
      <c r="AN771" s="34">
        <v>21</v>
      </c>
      <c r="AO771" s="34">
        <f>H771*0.00304575163398693</f>
        <v>0</v>
      </c>
      <c r="AP771" s="34">
        <f>H771*(1-0.00304575163398693)</f>
        <v>0</v>
      </c>
      <c r="AQ771" s="29" t="s">
        <v>7</v>
      </c>
      <c r="AV771" s="34">
        <f>AW771+AX771</f>
        <v>0</v>
      </c>
      <c r="AW771" s="34">
        <f>G771*AO771</f>
        <v>0</v>
      </c>
      <c r="AX771" s="34">
        <f>G771*AP771</f>
        <v>0</v>
      </c>
      <c r="AY771" s="35" t="s">
        <v>1050</v>
      </c>
      <c r="AZ771" s="35" t="s">
        <v>1084</v>
      </c>
      <c r="BA771" s="28" t="s">
        <v>1088</v>
      </c>
      <c r="BC771" s="34">
        <f>AW771+AX771</f>
        <v>0</v>
      </c>
      <c r="BD771" s="34">
        <f>H771/(100-BE771)*100</f>
        <v>0</v>
      </c>
      <c r="BE771" s="34">
        <v>0</v>
      </c>
      <c r="BF771" s="34">
        <f>771</f>
        <v>771</v>
      </c>
      <c r="BH771" s="18">
        <f>G771*AO771</f>
        <v>0</v>
      </c>
      <c r="BI771" s="18">
        <f>G771*AP771</f>
        <v>0</v>
      </c>
      <c r="BJ771" s="18">
        <f>G771*H771</f>
        <v>0</v>
      </c>
    </row>
    <row r="772" spans="3:7" ht="12.75">
      <c r="C772" s="101" t="s">
        <v>6</v>
      </c>
      <c r="D772" s="102"/>
      <c r="E772" s="102"/>
      <c r="G772" s="64">
        <v>1</v>
      </c>
    </row>
    <row r="773" spans="1:62" ht="12.75">
      <c r="A773" s="6" t="s">
        <v>316</v>
      </c>
      <c r="B773" s="6" t="s">
        <v>520</v>
      </c>
      <c r="C773" s="103" t="s">
        <v>970</v>
      </c>
      <c r="D773" s="104"/>
      <c r="E773" s="104"/>
      <c r="F773" s="6" t="s">
        <v>988</v>
      </c>
      <c r="G773" s="65">
        <v>1</v>
      </c>
      <c r="H773" s="19">
        <v>0</v>
      </c>
      <c r="I773" s="19">
        <f>G773*AO773</f>
        <v>0</v>
      </c>
      <c r="J773" s="19">
        <f>G773*AP773</f>
        <v>0</v>
      </c>
      <c r="K773" s="19">
        <f>G773*H773</f>
        <v>0</v>
      </c>
      <c r="L773" s="30"/>
      <c r="Z773" s="34">
        <f>IF(AQ773="5",BJ773,0)</f>
        <v>0</v>
      </c>
      <c r="AB773" s="34">
        <f>IF(AQ773="1",BH773,0)</f>
        <v>0</v>
      </c>
      <c r="AC773" s="34">
        <f>IF(AQ773="1",BI773,0)</f>
        <v>0</v>
      </c>
      <c r="AD773" s="34">
        <f>IF(AQ773="7",BH773,0)</f>
        <v>0</v>
      </c>
      <c r="AE773" s="34">
        <f>IF(AQ773="7",BI773,0)</f>
        <v>0</v>
      </c>
      <c r="AF773" s="34">
        <f>IF(AQ773="2",BH773,0)</f>
        <v>0</v>
      </c>
      <c r="AG773" s="34">
        <f>IF(AQ773="2",BI773,0)</f>
        <v>0</v>
      </c>
      <c r="AH773" s="34">
        <f>IF(AQ773="0",BJ773,0)</f>
        <v>0</v>
      </c>
      <c r="AI773" s="28" t="s">
        <v>1023</v>
      </c>
      <c r="AJ773" s="19">
        <f>IF(AN773=0,K773,0)</f>
        <v>0</v>
      </c>
      <c r="AK773" s="19">
        <f>IF(AN773=15,K773,0)</f>
        <v>0</v>
      </c>
      <c r="AL773" s="19">
        <f>IF(AN773=21,K773,0)</f>
        <v>0</v>
      </c>
      <c r="AN773" s="34">
        <v>21</v>
      </c>
      <c r="AO773" s="34">
        <f>H773*1</f>
        <v>0</v>
      </c>
      <c r="AP773" s="34">
        <f>H773*(1-1)</f>
        <v>0</v>
      </c>
      <c r="AQ773" s="30" t="s">
        <v>6</v>
      </c>
      <c r="AV773" s="34">
        <f>AW773+AX773</f>
        <v>0</v>
      </c>
      <c r="AW773" s="34">
        <f>G773*AO773</f>
        <v>0</v>
      </c>
      <c r="AX773" s="34">
        <f>G773*AP773</f>
        <v>0</v>
      </c>
      <c r="AY773" s="35" t="s">
        <v>1050</v>
      </c>
      <c r="AZ773" s="35" t="s">
        <v>1084</v>
      </c>
      <c r="BA773" s="28" t="s">
        <v>1088</v>
      </c>
      <c r="BC773" s="34">
        <f>AW773+AX773</f>
        <v>0</v>
      </c>
      <c r="BD773" s="34">
        <f>H773/(100-BE773)*100</f>
        <v>0</v>
      </c>
      <c r="BE773" s="34">
        <v>0</v>
      </c>
      <c r="BF773" s="34">
        <f>773</f>
        <v>773</v>
      </c>
      <c r="BH773" s="19">
        <f>G773*AO773</f>
        <v>0</v>
      </c>
      <c r="BI773" s="19">
        <f>G773*AP773</f>
        <v>0</v>
      </c>
      <c r="BJ773" s="19">
        <f>G773*H773</f>
        <v>0</v>
      </c>
    </row>
    <row r="774" spans="3:7" ht="12.75">
      <c r="C774" s="101" t="s">
        <v>6</v>
      </c>
      <c r="D774" s="102"/>
      <c r="E774" s="102"/>
      <c r="G774" s="64">
        <v>1</v>
      </c>
    </row>
    <row r="775" spans="1:47" ht="12.75">
      <c r="A775" s="4"/>
      <c r="B775" s="14" t="s">
        <v>521</v>
      </c>
      <c r="C775" s="97" t="s">
        <v>971</v>
      </c>
      <c r="D775" s="98"/>
      <c r="E775" s="98"/>
      <c r="F775" s="4" t="s">
        <v>5</v>
      </c>
      <c r="G775" s="4" t="s">
        <v>5</v>
      </c>
      <c r="H775" s="4" t="s">
        <v>5</v>
      </c>
      <c r="I775" s="37">
        <f>SUM(I776:I782)</f>
        <v>0</v>
      </c>
      <c r="J775" s="37">
        <f>SUM(J776:J782)</f>
        <v>0</v>
      </c>
      <c r="K775" s="37">
        <f>SUM(K776:K782)</f>
        <v>0</v>
      </c>
      <c r="L775" s="28"/>
      <c r="AI775" s="28" t="s">
        <v>1023</v>
      </c>
      <c r="AS775" s="37">
        <f>SUM(AJ776:AJ782)</f>
        <v>0</v>
      </c>
      <c r="AT775" s="37">
        <f>SUM(AK776:AK782)</f>
        <v>0</v>
      </c>
      <c r="AU775" s="37">
        <f>SUM(AL776:AL782)</f>
        <v>0</v>
      </c>
    </row>
    <row r="776" spans="1:62" ht="12.75">
      <c r="A776" s="5" t="s">
        <v>317</v>
      </c>
      <c r="B776" s="5" t="s">
        <v>522</v>
      </c>
      <c r="C776" s="99" t="s">
        <v>972</v>
      </c>
      <c r="D776" s="100"/>
      <c r="E776" s="100"/>
      <c r="F776" s="5" t="s">
        <v>993</v>
      </c>
      <c r="G776" s="63">
        <v>4.6</v>
      </c>
      <c r="H776" s="18">
        <v>0</v>
      </c>
      <c r="I776" s="18">
        <f>G776*AO776</f>
        <v>0</v>
      </c>
      <c r="J776" s="18">
        <f>G776*AP776</f>
        <v>0</v>
      </c>
      <c r="K776" s="18">
        <f>G776*H776</f>
        <v>0</v>
      </c>
      <c r="L776" s="29"/>
      <c r="Z776" s="34">
        <f>IF(AQ776="5",BJ776,0)</f>
        <v>0</v>
      </c>
      <c r="AB776" s="34">
        <f>IF(AQ776="1",BH776,0)</f>
        <v>0</v>
      </c>
      <c r="AC776" s="34">
        <f>IF(AQ776="1",BI776,0)</f>
        <v>0</v>
      </c>
      <c r="AD776" s="34">
        <f>IF(AQ776="7",BH776,0)</f>
        <v>0</v>
      </c>
      <c r="AE776" s="34">
        <f>IF(AQ776="7",BI776,0)</f>
        <v>0</v>
      </c>
      <c r="AF776" s="34">
        <f>IF(AQ776="2",BH776,0)</f>
        <v>0</v>
      </c>
      <c r="AG776" s="34">
        <f>IF(AQ776="2",BI776,0)</f>
        <v>0</v>
      </c>
      <c r="AH776" s="34">
        <f>IF(AQ776="0",BJ776,0)</f>
        <v>0</v>
      </c>
      <c r="AI776" s="28" t="s">
        <v>1023</v>
      </c>
      <c r="AJ776" s="18">
        <f>IF(AN776=0,K776,0)</f>
        <v>0</v>
      </c>
      <c r="AK776" s="18">
        <f>IF(AN776=15,K776,0)</f>
        <v>0</v>
      </c>
      <c r="AL776" s="18">
        <f>IF(AN776=21,K776,0)</f>
        <v>0</v>
      </c>
      <c r="AN776" s="34">
        <v>21</v>
      </c>
      <c r="AO776" s="34">
        <f>H776*0</f>
        <v>0</v>
      </c>
      <c r="AP776" s="34">
        <f>H776*(1-0)</f>
        <v>0</v>
      </c>
      <c r="AQ776" s="29" t="s">
        <v>7</v>
      </c>
      <c r="AV776" s="34">
        <f>AW776+AX776</f>
        <v>0</v>
      </c>
      <c r="AW776" s="34">
        <f>G776*AO776</f>
        <v>0</v>
      </c>
      <c r="AX776" s="34">
        <f>G776*AP776</f>
        <v>0</v>
      </c>
      <c r="AY776" s="35" t="s">
        <v>1062</v>
      </c>
      <c r="AZ776" s="35" t="s">
        <v>1084</v>
      </c>
      <c r="BA776" s="28" t="s">
        <v>1088</v>
      </c>
      <c r="BC776" s="34">
        <f>AW776+AX776</f>
        <v>0</v>
      </c>
      <c r="BD776" s="34">
        <f>H776/(100-BE776)*100</f>
        <v>0</v>
      </c>
      <c r="BE776" s="34">
        <v>0</v>
      </c>
      <c r="BF776" s="34">
        <f>776</f>
        <v>776</v>
      </c>
      <c r="BH776" s="18">
        <f>G776*AO776</f>
        <v>0</v>
      </c>
      <c r="BI776" s="18">
        <f>G776*AP776</f>
        <v>0</v>
      </c>
      <c r="BJ776" s="18">
        <f>G776*H776</f>
        <v>0</v>
      </c>
    </row>
    <row r="777" spans="3:7" ht="12.75">
      <c r="C777" s="101" t="s">
        <v>973</v>
      </c>
      <c r="D777" s="102"/>
      <c r="E777" s="102"/>
      <c r="G777" s="64">
        <v>4.6</v>
      </c>
    </row>
    <row r="778" spans="1:62" ht="12.75">
      <c r="A778" s="5" t="s">
        <v>318</v>
      </c>
      <c r="B778" s="5" t="s">
        <v>523</v>
      </c>
      <c r="C778" s="99" t="s">
        <v>974</v>
      </c>
      <c r="D778" s="100"/>
      <c r="E778" s="100"/>
      <c r="F778" s="5" t="s">
        <v>993</v>
      </c>
      <c r="G778" s="63">
        <v>4.6</v>
      </c>
      <c r="H778" s="18">
        <v>0</v>
      </c>
      <c r="I778" s="18">
        <f>G778*AO778</f>
        <v>0</v>
      </c>
      <c r="J778" s="18">
        <f>G778*AP778</f>
        <v>0</v>
      </c>
      <c r="K778" s="18">
        <f>G778*H778</f>
        <v>0</v>
      </c>
      <c r="L778" s="29"/>
      <c r="Z778" s="34">
        <f>IF(AQ778="5",BJ778,0)</f>
        <v>0</v>
      </c>
      <c r="AB778" s="34">
        <f>IF(AQ778="1",BH778,0)</f>
        <v>0</v>
      </c>
      <c r="AC778" s="34">
        <f>IF(AQ778="1",BI778,0)</f>
        <v>0</v>
      </c>
      <c r="AD778" s="34">
        <f>IF(AQ778="7",BH778,0)</f>
        <v>0</v>
      </c>
      <c r="AE778" s="34">
        <f>IF(AQ778="7",BI778,0)</f>
        <v>0</v>
      </c>
      <c r="AF778" s="34">
        <f>IF(AQ778="2",BH778,0)</f>
        <v>0</v>
      </c>
      <c r="AG778" s="34">
        <f>IF(AQ778="2",BI778,0)</f>
        <v>0</v>
      </c>
      <c r="AH778" s="34">
        <f>IF(AQ778="0",BJ778,0)</f>
        <v>0</v>
      </c>
      <c r="AI778" s="28" t="s">
        <v>1023</v>
      </c>
      <c r="AJ778" s="18">
        <f>IF(AN778=0,K778,0)</f>
        <v>0</v>
      </c>
      <c r="AK778" s="18">
        <f>IF(AN778=15,K778,0)</f>
        <v>0</v>
      </c>
      <c r="AL778" s="18">
        <f>IF(AN778=21,K778,0)</f>
        <v>0</v>
      </c>
      <c r="AN778" s="34">
        <v>21</v>
      </c>
      <c r="AO778" s="34">
        <f>H778*0</f>
        <v>0</v>
      </c>
      <c r="AP778" s="34">
        <f>H778*(1-0)</f>
        <v>0</v>
      </c>
      <c r="AQ778" s="29" t="s">
        <v>7</v>
      </c>
      <c r="AV778" s="34">
        <f>AW778+AX778</f>
        <v>0</v>
      </c>
      <c r="AW778" s="34">
        <f>G778*AO778</f>
        <v>0</v>
      </c>
      <c r="AX778" s="34">
        <f>G778*AP778</f>
        <v>0</v>
      </c>
      <c r="AY778" s="35" t="s">
        <v>1062</v>
      </c>
      <c r="AZ778" s="35" t="s">
        <v>1084</v>
      </c>
      <c r="BA778" s="28" t="s">
        <v>1088</v>
      </c>
      <c r="BC778" s="34">
        <f>AW778+AX778</f>
        <v>0</v>
      </c>
      <c r="BD778" s="34">
        <f>H778/(100-BE778)*100</f>
        <v>0</v>
      </c>
      <c r="BE778" s="34">
        <v>0</v>
      </c>
      <c r="BF778" s="34">
        <f>778</f>
        <v>778</v>
      </c>
      <c r="BH778" s="18">
        <f>G778*AO778</f>
        <v>0</v>
      </c>
      <c r="BI778" s="18">
        <f>G778*AP778</f>
        <v>0</v>
      </c>
      <c r="BJ778" s="18">
        <f>G778*H778</f>
        <v>0</v>
      </c>
    </row>
    <row r="779" spans="3:7" ht="12.75">
      <c r="C779" s="101" t="s">
        <v>973</v>
      </c>
      <c r="D779" s="102"/>
      <c r="E779" s="102"/>
      <c r="G779" s="64">
        <v>4.6</v>
      </c>
    </row>
    <row r="780" spans="1:62" ht="12.75">
      <c r="A780" s="5" t="s">
        <v>319</v>
      </c>
      <c r="B780" s="5" t="s">
        <v>524</v>
      </c>
      <c r="C780" s="99" t="s">
        <v>975</v>
      </c>
      <c r="D780" s="100"/>
      <c r="E780" s="100"/>
      <c r="F780" s="5" t="s">
        <v>994</v>
      </c>
      <c r="G780" s="63">
        <v>2</v>
      </c>
      <c r="H780" s="18">
        <v>0</v>
      </c>
      <c r="I780" s="18">
        <f>G780*AO780</f>
        <v>0</v>
      </c>
      <c r="J780" s="18">
        <f>G780*AP780</f>
        <v>0</v>
      </c>
      <c r="K780" s="18">
        <f>G780*H780</f>
        <v>0</v>
      </c>
      <c r="L780" s="29"/>
      <c r="Z780" s="34">
        <f>IF(AQ780="5",BJ780,0)</f>
        <v>0</v>
      </c>
      <c r="AB780" s="34">
        <f>IF(AQ780="1",BH780,0)</f>
        <v>0</v>
      </c>
      <c r="AC780" s="34">
        <f>IF(AQ780="1",BI780,0)</f>
        <v>0</v>
      </c>
      <c r="AD780" s="34">
        <f>IF(AQ780="7",BH780,0)</f>
        <v>0</v>
      </c>
      <c r="AE780" s="34">
        <f>IF(AQ780="7",BI780,0)</f>
        <v>0</v>
      </c>
      <c r="AF780" s="34">
        <f>IF(AQ780="2",BH780,0)</f>
        <v>0</v>
      </c>
      <c r="AG780" s="34">
        <f>IF(AQ780="2",BI780,0)</f>
        <v>0</v>
      </c>
      <c r="AH780" s="34">
        <f>IF(AQ780="0",BJ780,0)</f>
        <v>0</v>
      </c>
      <c r="AI780" s="28" t="s">
        <v>1023</v>
      </c>
      <c r="AJ780" s="18">
        <f>IF(AN780=0,K780,0)</f>
        <v>0</v>
      </c>
      <c r="AK780" s="18">
        <f>IF(AN780=15,K780,0)</f>
        <v>0</v>
      </c>
      <c r="AL780" s="18">
        <f>IF(AN780=21,K780,0)</f>
        <v>0</v>
      </c>
      <c r="AN780" s="34">
        <v>21</v>
      </c>
      <c r="AO780" s="34">
        <f>H780*0</f>
        <v>0</v>
      </c>
      <c r="AP780" s="34">
        <f>H780*(1-0)</f>
        <v>0</v>
      </c>
      <c r="AQ780" s="29" t="s">
        <v>7</v>
      </c>
      <c r="AV780" s="34">
        <f>AW780+AX780</f>
        <v>0</v>
      </c>
      <c r="AW780" s="34">
        <f>G780*AO780</f>
        <v>0</v>
      </c>
      <c r="AX780" s="34">
        <f>G780*AP780</f>
        <v>0</v>
      </c>
      <c r="AY780" s="35" t="s">
        <v>1062</v>
      </c>
      <c r="AZ780" s="35" t="s">
        <v>1084</v>
      </c>
      <c r="BA780" s="28" t="s">
        <v>1088</v>
      </c>
      <c r="BC780" s="34">
        <f>AW780+AX780</f>
        <v>0</v>
      </c>
      <c r="BD780" s="34">
        <f>H780/(100-BE780)*100</f>
        <v>0</v>
      </c>
      <c r="BE780" s="34">
        <v>0</v>
      </c>
      <c r="BF780" s="34">
        <f>780</f>
        <v>780</v>
      </c>
      <c r="BH780" s="18">
        <f>G780*AO780</f>
        <v>0</v>
      </c>
      <c r="BI780" s="18">
        <f>G780*AP780</f>
        <v>0</v>
      </c>
      <c r="BJ780" s="18">
        <f>G780*H780</f>
        <v>0</v>
      </c>
    </row>
    <row r="781" spans="3:7" ht="12.75">
      <c r="C781" s="101" t="s">
        <v>976</v>
      </c>
      <c r="D781" s="102"/>
      <c r="E781" s="102"/>
      <c r="G781" s="64">
        <v>2</v>
      </c>
    </row>
    <row r="782" spans="1:62" ht="12.75">
      <c r="A782" s="5" t="s">
        <v>320</v>
      </c>
      <c r="B782" s="5" t="s">
        <v>525</v>
      </c>
      <c r="C782" s="99" t="s">
        <v>977</v>
      </c>
      <c r="D782" s="100"/>
      <c r="E782" s="100"/>
      <c r="F782" s="5" t="s">
        <v>994</v>
      </c>
      <c r="G782" s="63">
        <v>2</v>
      </c>
      <c r="H782" s="18">
        <v>0</v>
      </c>
      <c r="I782" s="18">
        <f>G782*AO782</f>
        <v>0</v>
      </c>
      <c r="J782" s="18">
        <f>G782*AP782</f>
        <v>0</v>
      </c>
      <c r="K782" s="18">
        <f>G782*H782</f>
        <v>0</v>
      </c>
      <c r="L782" s="29"/>
      <c r="Z782" s="34">
        <f>IF(AQ782="5",BJ782,0)</f>
        <v>0</v>
      </c>
      <c r="AB782" s="34">
        <f>IF(AQ782="1",BH782,0)</f>
        <v>0</v>
      </c>
      <c r="AC782" s="34">
        <f>IF(AQ782="1",BI782,0)</f>
        <v>0</v>
      </c>
      <c r="AD782" s="34">
        <f>IF(AQ782="7",BH782,0)</f>
        <v>0</v>
      </c>
      <c r="AE782" s="34">
        <f>IF(AQ782="7",BI782,0)</f>
        <v>0</v>
      </c>
      <c r="AF782" s="34">
        <f>IF(AQ782="2",BH782,0)</f>
        <v>0</v>
      </c>
      <c r="AG782" s="34">
        <f>IF(AQ782="2",BI782,0)</f>
        <v>0</v>
      </c>
      <c r="AH782" s="34">
        <f>IF(AQ782="0",BJ782,0)</f>
        <v>0</v>
      </c>
      <c r="AI782" s="28" t="s">
        <v>1023</v>
      </c>
      <c r="AJ782" s="18">
        <f>IF(AN782=0,K782,0)</f>
        <v>0</v>
      </c>
      <c r="AK782" s="18">
        <f>IF(AN782=15,K782,0)</f>
        <v>0</v>
      </c>
      <c r="AL782" s="18">
        <f>IF(AN782=21,K782,0)</f>
        <v>0</v>
      </c>
      <c r="AN782" s="34">
        <v>21</v>
      </c>
      <c r="AO782" s="34">
        <f>H782*0</f>
        <v>0</v>
      </c>
      <c r="AP782" s="34">
        <f>H782*(1-0)</f>
        <v>0</v>
      </c>
      <c r="AQ782" s="29" t="s">
        <v>7</v>
      </c>
      <c r="AV782" s="34">
        <f>AW782+AX782</f>
        <v>0</v>
      </c>
      <c r="AW782" s="34">
        <f>G782*AO782</f>
        <v>0</v>
      </c>
      <c r="AX782" s="34">
        <f>G782*AP782</f>
        <v>0</v>
      </c>
      <c r="AY782" s="35" t="s">
        <v>1062</v>
      </c>
      <c r="AZ782" s="35" t="s">
        <v>1084</v>
      </c>
      <c r="BA782" s="28" t="s">
        <v>1088</v>
      </c>
      <c r="BC782" s="34">
        <f>AW782+AX782</f>
        <v>0</v>
      </c>
      <c r="BD782" s="34">
        <f>H782/(100-BE782)*100</f>
        <v>0</v>
      </c>
      <c r="BE782" s="34">
        <v>0</v>
      </c>
      <c r="BF782" s="34">
        <f>782</f>
        <v>782</v>
      </c>
      <c r="BH782" s="18">
        <f>G782*AO782</f>
        <v>0</v>
      </c>
      <c r="BI782" s="18">
        <f>G782*AP782</f>
        <v>0</v>
      </c>
      <c r="BJ782" s="18">
        <f>G782*H782</f>
        <v>0</v>
      </c>
    </row>
    <row r="783" spans="1:12" ht="12.75">
      <c r="A783" s="8"/>
      <c r="B783" s="8"/>
      <c r="C783" s="107" t="s">
        <v>976</v>
      </c>
      <c r="D783" s="108"/>
      <c r="E783" s="108"/>
      <c r="F783" s="8"/>
      <c r="G783" s="66">
        <v>2</v>
      </c>
      <c r="H783" s="8"/>
      <c r="I783" s="8"/>
      <c r="J783" s="8"/>
      <c r="K783" s="8"/>
      <c r="L783" s="8"/>
    </row>
    <row r="784" spans="1:12" ht="12.75">
      <c r="A784" s="9"/>
      <c r="B784" s="9"/>
      <c r="C784" s="9"/>
      <c r="D784" s="9"/>
      <c r="E784" s="9"/>
      <c r="F784" s="9"/>
      <c r="G784" s="9"/>
      <c r="H784" s="9"/>
      <c r="I784" s="109" t="s">
        <v>1006</v>
      </c>
      <c r="J784" s="110"/>
      <c r="K784" s="39">
        <f>K13+K16+K20+K31+K36+K41+K44+K47+K54+K69+K72+K115+K122+K136+K151+K161+K172+K194+K221+K228+K231+K234+K249+K258+K263+K266+K297+K304+K320+K336+K343+K350+K387+K392+K395+K398+K401+K404+K411+K414+K418+K434+K445+K448+K506+K513+K529+K544+K554+K561+K572+K596+K622+K629+K639+K642+K645+K649+K670+K679+K686+K688+K715+K730+K748+K760+K765+K770+K775</f>
        <v>0</v>
      </c>
      <c r="L784" s="9"/>
    </row>
    <row r="785" ht="11.25" customHeight="1">
      <c r="A785" s="10" t="s">
        <v>321</v>
      </c>
    </row>
    <row r="786" spans="1:12" ht="12.75">
      <c r="A786" s="80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</row>
  </sheetData>
  <sheetProtection/>
  <mergeCells count="802">
    <mergeCell ref="C783:E783"/>
    <mergeCell ref="I784:J784"/>
    <mergeCell ref="A786:L786"/>
    <mergeCell ref="C777:E777"/>
    <mergeCell ref="C778:E778"/>
    <mergeCell ref="C779:E779"/>
    <mergeCell ref="C780:E780"/>
    <mergeCell ref="C781:E781"/>
    <mergeCell ref="C782:E782"/>
    <mergeCell ref="C771:E771"/>
    <mergeCell ref="C772:E772"/>
    <mergeCell ref="C773:E773"/>
    <mergeCell ref="C774:E774"/>
    <mergeCell ref="C775:E775"/>
    <mergeCell ref="C776:E776"/>
    <mergeCell ref="C765:E765"/>
    <mergeCell ref="C766:E766"/>
    <mergeCell ref="C767:E767"/>
    <mergeCell ref="C768:E768"/>
    <mergeCell ref="C769:E769"/>
    <mergeCell ref="C770:E770"/>
    <mergeCell ref="C759:E759"/>
    <mergeCell ref="C760:E760"/>
    <mergeCell ref="C761:E761"/>
    <mergeCell ref="C762:E762"/>
    <mergeCell ref="C763:E763"/>
    <mergeCell ref="C764:E764"/>
    <mergeCell ref="C753:E753"/>
    <mergeCell ref="C754:E754"/>
    <mergeCell ref="C755:E755"/>
    <mergeCell ref="C756:E756"/>
    <mergeCell ref="C757:E757"/>
    <mergeCell ref="C758:E758"/>
    <mergeCell ref="C747:E747"/>
    <mergeCell ref="C748:E748"/>
    <mergeCell ref="C749:E749"/>
    <mergeCell ref="C750:E750"/>
    <mergeCell ref="C751:E751"/>
    <mergeCell ref="C752:E752"/>
    <mergeCell ref="C741:E741"/>
    <mergeCell ref="C742:E742"/>
    <mergeCell ref="C743:E743"/>
    <mergeCell ref="C744:E744"/>
    <mergeCell ref="C745:E745"/>
    <mergeCell ref="C746:E746"/>
    <mergeCell ref="C735:E735"/>
    <mergeCell ref="C736:E736"/>
    <mergeCell ref="C737:E737"/>
    <mergeCell ref="C738:E738"/>
    <mergeCell ref="C739:E739"/>
    <mergeCell ref="C740:E740"/>
    <mergeCell ref="C729:E729"/>
    <mergeCell ref="C730:E730"/>
    <mergeCell ref="C731:E731"/>
    <mergeCell ref="C732:E732"/>
    <mergeCell ref="C733:E733"/>
    <mergeCell ref="C734:E734"/>
    <mergeCell ref="C723:E723"/>
    <mergeCell ref="C724:E724"/>
    <mergeCell ref="C725:E725"/>
    <mergeCell ref="C726:E726"/>
    <mergeCell ref="C727:E727"/>
    <mergeCell ref="C728:E728"/>
    <mergeCell ref="C717:E717"/>
    <mergeCell ref="C718:E718"/>
    <mergeCell ref="C719:E719"/>
    <mergeCell ref="C720:E720"/>
    <mergeCell ref="C721:E721"/>
    <mergeCell ref="C722:E722"/>
    <mergeCell ref="C711:E711"/>
    <mergeCell ref="C712:E712"/>
    <mergeCell ref="C713:E713"/>
    <mergeCell ref="C714:E714"/>
    <mergeCell ref="C715:E715"/>
    <mergeCell ref="C716:E716"/>
    <mergeCell ref="C705:E705"/>
    <mergeCell ref="C706:E706"/>
    <mergeCell ref="C707:E707"/>
    <mergeCell ref="C708:E708"/>
    <mergeCell ref="C709:E709"/>
    <mergeCell ref="C710:E710"/>
    <mergeCell ref="C699:E699"/>
    <mergeCell ref="C700:E700"/>
    <mergeCell ref="C701:E701"/>
    <mergeCell ref="C702:E702"/>
    <mergeCell ref="C703:E703"/>
    <mergeCell ref="C704:E704"/>
    <mergeCell ref="C693:E693"/>
    <mergeCell ref="C694:E694"/>
    <mergeCell ref="C695:E695"/>
    <mergeCell ref="C696:E696"/>
    <mergeCell ref="C697:E697"/>
    <mergeCell ref="C698:E698"/>
    <mergeCell ref="C687:E687"/>
    <mergeCell ref="C688:E688"/>
    <mergeCell ref="C689:E689"/>
    <mergeCell ref="C690:E690"/>
    <mergeCell ref="C691:E691"/>
    <mergeCell ref="C692:E692"/>
    <mergeCell ref="C681:E681"/>
    <mergeCell ref="C682:E682"/>
    <mergeCell ref="C683:E683"/>
    <mergeCell ref="C684:E684"/>
    <mergeCell ref="C685:E685"/>
    <mergeCell ref="C686:E686"/>
    <mergeCell ref="C675:E675"/>
    <mergeCell ref="C676:E676"/>
    <mergeCell ref="C677:E677"/>
    <mergeCell ref="C678:E678"/>
    <mergeCell ref="C679:E679"/>
    <mergeCell ref="C680:E680"/>
    <mergeCell ref="C669:E669"/>
    <mergeCell ref="C670:E670"/>
    <mergeCell ref="C671:E671"/>
    <mergeCell ref="C672:E672"/>
    <mergeCell ref="C673:E673"/>
    <mergeCell ref="C674:E674"/>
    <mergeCell ref="C663:E663"/>
    <mergeCell ref="C664:E664"/>
    <mergeCell ref="C665:E665"/>
    <mergeCell ref="C666:E666"/>
    <mergeCell ref="C667:E667"/>
    <mergeCell ref="C668:E668"/>
    <mergeCell ref="C657:E657"/>
    <mergeCell ref="C658:E658"/>
    <mergeCell ref="C659:E659"/>
    <mergeCell ref="C660:E660"/>
    <mergeCell ref="C661:E661"/>
    <mergeCell ref="C662:E662"/>
    <mergeCell ref="C651:E651"/>
    <mergeCell ref="C652:E652"/>
    <mergeCell ref="C653:E653"/>
    <mergeCell ref="C654:E654"/>
    <mergeCell ref="C655:E655"/>
    <mergeCell ref="C656:E656"/>
    <mergeCell ref="C645:E645"/>
    <mergeCell ref="C646:E646"/>
    <mergeCell ref="C647:E647"/>
    <mergeCell ref="C648:E648"/>
    <mergeCell ref="C649:E649"/>
    <mergeCell ref="C650:E650"/>
    <mergeCell ref="C639:E639"/>
    <mergeCell ref="C640:E640"/>
    <mergeCell ref="C641:E641"/>
    <mergeCell ref="C642:E642"/>
    <mergeCell ref="C643:E643"/>
    <mergeCell ref="C644:E644"/>
    <mergeCell ref="C633:E633"/>
    <mergeCell ref="C634:E634"/>
    <mergeCell ref="C635:E635"/>
    <mergeCell ref="C636:E636"/>
    <mergeCell ref="C637:E637"/>
    <mergeCell ref="C638:E638"/>
    <mergeCell ref="C627:E627"/>
    <mergeCell ref="C628:E628"/>
    <mergeCell ref="C629:E629"/>
    <mergeCell ref="C630:E630"/>
    <mergeCell ref="C631:E631"/>
    <mergeCell ref="C632:E632"/>
    <mergeCell ref="C621:E621"/>
    <mergeCell ref="C622:E622"/>
    <mergeCell ref="C623:E623"/>
    <mergeCell ref="C624:E624"/>
    <mergeCell ref="C625:E625"/>
    <mergeCell ref="C626:E626"/>
    <mergeCell ref="C615:E615"/>
    <mergeCell ref="C616:E616"/>
    <mergeCell ref="C617:E617"/>
    <mergeCell ref="C618:E618"/>
    <mergeCell ref="C619:E619"/>
    <mergeCell ref="C620:E620"/>
    <mergeCell ref="C609:E609"/>
    <mergeCell ref="C610:E610"/>
    <mergeCell ref="C611:E611"/>
    <mergeCell ref="C612:E612"/>
    <mergeCell ref="C613:E613"/>
    <mergeCell ref="C614:E614"/>
    <mergeCell ref="C603:E603"/>
    <mergeCell ref="C604:E604"/>
    <mergeCell ref="C605:E605"/>
    <mergeCell ref="C606:E606"/>
    <mergeCell ref="C607:E607"/>
    <mergeCell ref="C608:E608"/>
    <mergeCell ref="C597:E597"/>
    <mergeCell ref="C598:E598"/>
    <mergeCell ref="C599:E599"/>
    <mergeCell ref="C600:E600"/>
    <mergeCell ref="C601:E601"/>
    <mergeCell ref="C602:E602"/>
    <mergeCell ref="C591:E591"/>
    <mergeCell ref="C592:E592"/>
    <mergeCell ref="C593:E593"/>
    <mergeCell ref="C594:E594"/>
    <mergeCell ref="C595:E595"/>
    <mergeCell ref="C596:E596"/>
    <mergeCell ref="C585:E585"/>
    <mergeCell ref="C586:E586"/>
    <mergeCell ref="C587:E587"/>
    <mergeCell ref="C588:E588"/>
    <mergeCell ref="C589:E589"/>
    <mergeCell ref="C590:E590"/>
    <mergeCell ref="C579:E579"/>
    <mergeCell ref="C580:E580"/>
    <mergeCell ref="C581:E581"/>
    <mergeCell ref="C582:E582"/>
    <mergeCell ref="C583:E583"/>
    <mergeCell ref="C584:E584"/>
    <mergeCell ref="C573:E573"/>
    <mergeCell ref="C574:E574"/>
    <mergeCell ref="C575:E575"/>
    <mergeCell ref="C576:E576"/>
    <mergeCell ref="C577:E577"/>
    <mergeCell ref="C578:E578"/>
    <mergeCell ref="C567:E567"/>
    <mergeCell ref="C568:E568"/>
    <mergeCell ref="C569:E569"/>
    <mergeCell ref="C570:E570"/>
    <mergeCell ref="C571:E571"/>
    <mergeCell ref="C572:E572"/>
    <mergeCell ref="C561:E561"/>
    <mergeCell ref="C562:E562"/>
    <mergeCell ref="C563:E563"/>
    <mergeCell ref="C564:E564"/>
    <mergeCell ref="C565:E565"/>
    <mergeCell ref="C566:E566"/>
    <mergeCell ref="C555:E555"/>
    <mergeCell ref="C556:E556"/>
    <mergeCell ref="C557:E557"/>
    <mergeCell ref="C558:E558"/>
    <mergeCell ref="C559:E559"/>
    <mergeCell ref="C560:E560"/>
    <mergeCell ref="C549:E549"/>
    <mergeCell ref="C550:E550"/>
    <mergeCell ref="C551:E551"/>
    <mergeCell ref="C552:E552"/>
    <mergeCell ref="C553:E553"/>
    <mergeCell ref="C554:E554"/>
    <mergeCell ref="C543:E543"/>
    <mergeCell ref="C544:E544"/>
    <mergeCell ref="C545:E545"/>
    <mergeCell ref="C546:E546"/>
    <mergeCell ref="C547:E547"/>
    <mergeCell ref="C548:E548"/>
    <mergeCell ref="C537:E537"/>
    <mergeCell ref="C538:E538"/>
    <mergeCell ref="C539:E539"/>
    <mergeCell ref="C540:E540"/>
    <mergeCell ref="C541:E541"/>
    <mergeCell ref="C542:E542"/>
    <mergeCell ref="C531:E531"/>
    <mergeCell ref="C532:E532"/>
    <mergeCell ref="C533:E533"/>
    <mergeCell ref="C534:E534"/>
    <mergeCell ref="C535:E535"/>
    <mergeCell ref="C536:E536"/>
    <mergeCell ref="C525:E525"/>
    <mergeCell ref="C526:E526"/>
    <mergeCell ref="C527:E527"/>
    <mergeCell ref="C528:E528"/>
    <mergeCell ref="C529:E529"/>
    <mergeCell ref="C530:E530"/>
    <mergeCell ref="C519:E519"/>
    <mergeCell ref="C520:E520"/>
    <mergeCell ref="C521:E521"/>
    <mergeCell ref="C522:E522"/>
    <mergeCell ref="C523:E523"/>
    <mergeCell ref="C524:E524"/>
    <mergeCell ref="C513:E513"/>
    <mergeCell ref="C514:E514"/>
    <mergeCell ref="C515:E515"/>
    <mergeCell ref="C516:E516"/>
    <mergeCell ref="C517:E517"/>
    <mergeCell ref="C518:E518"/>
    <mergeCell ref="C507:E507"/>
    <mergeCell ref="C508:E508"/>
    <mergeCell ref="C509:E509"/>
    <mergeCell ref="C510:E510"/>
    <mergeCell ref="C511:E511"/>
    <mergeCell ref="C512:E512"/>
    <mergeCell ref="C501:E501"/>
    <mergeCell ref="C502:E502"/>
    <mergeCell ref="C503:E503"/>
    <mergeCell ref="C504:E504"/>
    <mergeCell ref="C505:E505"/>
    <mergeCell ref="C506:E506"/>
    <mergeCell ref="C495:E495"/>
    <mergeCell ref="C496:E496"/>
    <mergeCell ref="C497:E497"/>
    <mergeCell ref="C498:E498"/>
    <mergeCell ref="C499:E499"/>
    <mergeCell ref="C500:E500"/>
    <mergeCell ref="C489:E489"/>
    <mergeCell ref="C490:E490"/>
    <mergeCell ref="C491:E491"/>
    <mergeCell ref="C492:E492"/>
    <mergeCell ref="C493:E493"/>
    <mergeCell ref="C494:E494"/>
    <mergeCell ref="C483:E483"/>
    <mergeCell ref="C484:E484"/>
    <mergeCell ref="C485:E485"/>
    <mergeCell ref="C486:E486"/>
    <mergeCell ref="C487:E487"/>
    <mergeCell ref="C488:E488"/>
    <mergeCell ref="C477:E477"/>
    <mergeCell ref="C478:E478"/>
    <mergeCell ref="C479:E479"/>
    <mergeCell ref="C480:E480"/>
    <mergeCell ref="C481:E481"/>
    <mergeCell ref="C482:E482"/>
    <mergeCell ref="C471:E471"/>
    <mergeCell ref="C472:E472"/>
    <mergeCell ref="C473:E473"/>
    <mergeCell ref="C474:E474"/>
    <mergeCell ref="C475:E475"/>
    <mergeCell ref="C476:E476"/>
    <mergeCell ref="C465:E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E463"/>
    <mergeCell ref="C464:E464"/>
    <mergeCell ref="C453:E453"/>
    <mergeCell ref="C454:E454"/>
    <mergeCell ref="C455:E455"/>
    <mergeCell ref="C456:E456"/>
    <mergeCell ref="C457:E457"/>
    <mergeCell ref="C458:E458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pane ySplit="10" topLeftCell="A11" activePane="bottomLeft" state="frozen"/>
      <selection pane="topLeft" activeCell="A2" sqref="A2:B3"/>
      <selection pane="bottomLeft" activeCell="A2" sqref="A2:B3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67" t="s">
        <v>1143</v>
      </c>
      <c r="B1" s="68"/>
      <c r="C1" s="68"/>
      <c r="D1" s="68"/>
      <c r="E1" s="68"/>
      <c r="F1" s="68"/>
      <c r="G1" s="68"/>
    </row>
    <row r="2" spans="1:8" ht="12.75">
      <c r="A2" s="69" t="s">
        <v>0</v>
      </c>
      <c r="B2" s="73" t="str">
        <f>'Stavební rozpočet'!C2</f>
        <v>ZŠ Brno, Hroznová 1, p. o., objekty školiček - rekonstrukce učeben a sociálního zařízení - zateplení</v>
      </c>
      <c r="C2" s="110"/>
      <c r="D2" s="76" t="s">
        <v>996</v>
      </c>
      <c r="E2" s="76" t="str">
        <f>'Stavební rozpočet'!I2</f>
        <v>Městská část Brno-střed</v>
      </c>
      <c r="F2" s="70"/>
      <c r="G2" s="77"/>
      <c r="H2" s="32"/>
    </row>
    <row r="3" spans="1:8" ht="12.75">
      <c r="A3" s="71"/>
      <c r="B3" s="74"/>
      <c r="C3" s="74"/>
      <c r="D3" s="72"/>
      <c r="E3" s="72"/>
      <c r="F3" s="72"/>
      <c r="G3" s="78"/>
      <c r="H3" s="32"/>
    </row>
    <row r="4" spans="1:8" ht="12.75">
      <c r="A4" s="79" t="s">
        <v>1</v>
      </c>
      <c r="B4" s="80" t="str">
        <f>'Stavební rozpočet'!C4</f>
        <v>Udržovací práce</v>
      </c>
      <c r="C4" s="72"/>
      <c r="D4" s="80" t="s">
        <v>997</v>
      </c>
      <c r="E4" s="80" t="str">
        <f>'Stavební rozpočet'!I4</f>
        <v>ENERGY BENEFIT CENTRE a.s.</v>
      </c>
      <c r="F4" s="72"/>
      <c r="G4" s="78"/>
      <c r="H4" s="32"/>
    </row>
    <row r="5" spans="1:8" ht="12.75">
      <c r="A5" s="71"/>
      <c r="B5" s="72"/>
      <c r="C5" s="72"/>
      <c r="D5" s="72"/>
      <c r="E5" s="72"/>
      <c r="F5" s="72"/>
      <c r="G5" s="78"/>
      <c r="H5" s="32"/>
    </row>
    <row r="6" spans="1:8" ht="12.75">
      <c r="A6" s="79" t="s">
        <v>2</v>
      </c>
      <c r="B6" s="80" t="str">
        <f>'Stavební rozpočet'!C6</f>
        <v>Brno Pisárky</v>
      </c>
      <c r="C6" s="72"/>
      <c r="D6" s="80" t="s">
        <v>998</v>
      </c>
      <c r="E6" s="80"/>
      <c r="F6" s="72"/>
      <c r="G6" s="78"/>
      <c r="H6" s="32"/>
    </row>
    <row r="7" spans="1:8" ht="12.75">
      <c r="A7" s="71"/>
      <c r="B7" s="72"/>
      <c r="C7" s="72"/>
      <c r="D7" s="72"/>
      <c r="E7" s="72"/>
      <c r="F7" s="72"/>
      <c r="G7" s="78"/>
      <c r="H7" s="32"/>
    </row>
    <row r="8" spans="1:8" ht="12.75">
      <c r="A8" s="79" t="s">
        <v>999</v>
      </c>
      <c r="B8" s="80"/>
      <c r="C8" s="72"/>
      <c r="D8" s="81" t="s">
        <v>981</v>
      </c>
      <c r="E8" s="80"/>
      <c r="F8" s="72"/>
      <c r="G8" s="78"/>
      <c r="H8" s="32"/>
    </row>
    <row r="9" spans="1:8" ht="12.75">
      <c r="A9" s="83"/>
      <c r="B9" s="84"/>
      <c r="C9" s="84"/>
      <c r="D9" s="84"/>
      <c r="E9" s="84"/>
      <c r="F9" s="84"/>
      <c r="G9" s="85"/>
      <c r="H9" s="32"/>
    </row>
    <row r="10" spans="1:8" ht="12.75">
      <c r="A10" s="40" t="s">
        <v>1092</v>
      </c>
      <c r="B10" s="42" t="s">
        <v>322</v>
      </c>
      <c r="C10" s="111" t="s">
        <v>529</v>
      </c>
      <c r="D10" s="112"/>
      <c r="E10" s="43" t="s">
        <v>1093</v>
      </c>
      <c r="F10" s="43" t="s">
        <v>1094</v>
      </c>
      <c r="G10" s="43" t="s">
        <v>1095</v>
      </c>
      <c r="H10" s="32"/>
    </row>
    <row r="11" spans="1:9" ht="12.75">
      <c r="A11" s="41" t="s">
        <v>1020</v>
      </c>
      <c r="B11" s="41"/>
      <c r="C11" s="113" t="s">
        <v>531</v>
      </c>
      <c r="D11" s="114"/>
      <c r="E11" s="45">
        <f>'Stavební rozpočet'!I12</f>
        <v>0</v>
      </c>
      <c r="F11" s="45">
        <f>'Stavební rozpočet'!J12</f>
        <v>0</v>
      </c>
      <c r="G11" s="45">
        <f>'Stavební rozpočet'!K12</f>
        <v>0</v>
      </c>
      <c r="H11" s="34" t="s">
        <v>1096</v>
      </c>
      <c r="I11" s="34">
        <f aca="true" t="shared" si="0" ref="I11:I42">IF(H11="F",0,G11)</f>
        <v>0</v>
      </c>
    </row>
    <row r="12" spans="1:9" ht="12.75">
      <c r="A12" s="16" t="s">
        <v>1020</v>
      </c>
      <c r="B12" s="16" t="s">
        <v>16</v>
      </c>
      <c r="C12" s="81" t="s">
        <v>532</v>
      </c>
      <c r="D12" s="72"/>
      <c r="E12" s="34">
        <f>'Stavební rozpočet'!I13</f>
        <v>0</v>
      </c>
      <c r="F12" s="34">
        <f>'Stavební rozpočet'!J13</f>
        <v>0</v>
      </c>
      <c r="G12" s="34">
        <f>'Stavební rozpočet'!K13</f>
        <v>0</v>
      </c>
      <c r="H12" s="34" t="s">
        <v>1097</v>
      </c>
      <c r="I12" s="34">
        <f t="shared" si="0"/>
        <v>0</v>
      </c>
    </row>
    <row r="13" spans="1:9" ht="12.75">
      <c r="A13" s="16" t="s">
        <v>1020</v>
      </c>
      <c r="B13" s="16" t="s">
        <v>18</v>
      </c>
      <c r="C13" s="81" t="s">
        <v>535</v>
      </c>
      <c r="D13" s="72"/>
      <c r="E13" s="34">
        <f>'Stavební rozpočet'!I16</f>
        <v>0</v>
      </c>
      <c r="F13" s="34">
        <f>'Stavební rozpočet'!J16</f>
        <v>0</v>
      </c>
      <c r="G13" s="34">
        <f>'Stavební rozpočet'!K16</f>
        <v>0</v>
      </c>
      <c r="H13" s="34" t="s">
        <v>1097</v>
      </c>
      <c r="I13" s="34">
        <f t="shared" si="0"/>
        <v>0</v>
      </c>
    </row>
    <row r="14" spans="1:9" ht="12.75">
      <c r="A14" s="16" t="s">
        <v>1020</v>
      </c>
      <c r="B14" s="16" t="s">
        <v>21</v>
      </c>
      <c r="C14" s="81" t="s">
        <v>539</v>
      </c>
      <c r="D14" s="72"/>
      <c r="E14" s="34">
        <f>'Stavební rozpočet'!I20</f>
        <v>0</v>
      </c>
      <c r="F14" s="34">
        <f>'Stavební rozpočet'!J20</f>
        <v>0</v>
      </c>
      <c r="G14" s="34">
        <f>'Stavební rozpočet'!K20</f>
        <v>0</v>
      </c>
      <c r="H14" s="34" t="s">
        <v>1097</v>
      </c>
      <c r="I14" s="34">
        <f t="shared" si="0"/>
        <v>0</v>
      </c>
    </row>
    <row r="15" spans="1:9" ht="12.75">
      <c r="A15" s="16" t="s">
        <v>1020</v>
      </c>
      <c r="B15" s="16" t="s">
        <v>22</v>
      </c>
      <c r="C15" s="81" t="s">
        <v>546</v>
      </c>
      <c r="D15" s="72"/>
      <c r="E15" s="34">
        <f>'Stavební rozpočet'!I31</f>
        <v>0</v>
      </c>
      <c r="F15" s="34">
        <f>'Stavební rozpočet'!J31</f>
        <v>0</v>
      </c>
      <c r="G15" s="34">
        <f>'Stavební rozpočet'!K31</f>
        <v>0</v>
      </c>
      <c r="H15" s="34" t="s">
        <v>1097</v>
      </c>
      <c r="I15" s="34">
        <f t="shared" si="0"/>
        <v>0</v>
      </c>
    </row>
    <row r="16" spans="1:9" ht="12.75">
      <c r="A16" s="16" t="s">
        <v>1020</v>
      </c>
      <c r="B16" s="16" t="s">
        <v>23</v>
      </c>
      <c r="C16" s="81" t="s">
        <v>550</v>
      </c>
      <c r="D16" s="72"/>
      <c r="E16" s="34">
        <f>'Stavební rozpočet'!I36</f>
        <v>0</v>
      </c>
      <c r="F16" s="34">
        <f>'Stavební rozpočet'!J36</f>
        <v>0</v>
      </c>
      <c r="G16" s="34">
        <f>'Stavební rozpočet'!K36</f>
        <v>0</v>
      </c>
      <c r="H16" s="34" t="s">
        <v>1097</v>
      </c>
      <c r="I16" s="34">
        <f t="shared" si="0"/>
        <v>0</v>
      </c>
    </row>
    <row r="17" spans="1:9" ht="12.75">
      <c r="A17" s="16" t="s">
        <v>1020</v>
      </c>
      <c r="B17" s="16" t="s">
        <v>24</v>
      </c>
      <c r="C17" s="81" t="s">
        <v>555</v>
      </c>
      <c r="D17" s="72"/>
      <c r="E17" s="34">
        <f>'Stavební rozpočet'!I41</f>
        <v>0</v>
      </c>
      <c r="F17" s="34">
        <f>'Stavební rozpočet'!J41</f>
        <v>0</v>
      </c>
      <c r="G17" s="34">
        <f>'Stavební rozpočet'!K41</f>
        <v>0</v>
      </c>
      <c r="H17" s="34" t="s">
        <v>1097</v>
      </c>
      <c r="I17" s="34">
        <f t="shared" si="0"/>
        <v>0</v>
      </c>
    </row>
    <row r="18" spans="1:9" ht="12.75">
      <c r="A18" s="16" t="s">
        <v>1020</v>
      </c>
      <c r="B18" s="16" t="s">
        <v>50</v>
      </c>
      <c r="C18" s="81" t="s">
        <v>557</v>
      </c>
      <c r="D18" s="72"/>
      <c r="E18" s="34">
        <f>'Stavební rozpočet'!I44</f>
        <v>0</v>
      </c>
      <c r="F18" s="34">
        <f>'Stavební rozpočet'!J44</f>
        <v>0</v>
      </c>
      <c r="G18" s="34">
        <f>'Stavební rozpočet'!K44</f>
        <v>0</v>
      </c>
      <c r="H18" s="34" t="s">
        <v>1097</v>
      </c>
      <c r="I18" s="34">
        <f t="shared" si="0"/>
        <v>0</v>
      </c>
    </row>
    <row r="19" spans="1:9" ht="12.75">
      <c r="A19" s="16" t="s">
        <v>1020</v>
      </c>
      <c r="B19" s="16" t="s">
        <v>64</v>
      </c>
      <c r="C19" s="81" t="s">
        <v>560</v>
      </c>
      <c r="D19" s="72"/>
      <c r="E19" s="34">
        <f>'Stavební rozpočet'!I47</f>
        <v>0</v>
      </c>
      <c r="F19" s="34">
        <f>'Stavební rozpočet'!J47</f>
        <v>0</v>
      </c>
      <c r="G19" s="34">
        <f>'Stavební rozpočet'!K47</f>
        <v>0</v>
      </c>
      <c r="H19" s="34" t="s">
        <v>1097</v>
      </c>
      <c r="I19" s="34">
        <f t="shared" si="0"/>
        <v>0</v>
      </c>
    </row>
    <row r="20" spans="1:9" ht="12.75">
      <c r="A20" s="16" t="s">
        <v>1020</v>
      </c>
      <c r="B20" s="16" t="s">
        <v>11</v>
      </c>
      <c r="C20" s="81" t="s">
        <v>565</v>
      </c>
      <c r="D20" s="72"/>
      <c r="E20" s="34">
        <f>'Stavební rozpočet'!I54</f>
        <v>0</v>
      </c>
      <c r="F20" s="34">
        <f>'Stavební rozpočet'!J54</f>
        <v>0</v>
      </c>
      <c r="G20" s="34">
        <f>'Stavební rozpočet'!K54</f>
        <v>0</v>
      </c>
      <c r="H20" s="34" t="s">
        <v>1097</v>
      </c>
      <c r="I20" s="34">
        <f t="shared" si="0"/>
        <v>0</v>
      </c>
    </row>
    <row r="21" spans="1:9" ht="12.75">
      <c r="A21" s="16" t="s">
        <v>1020</v>
      </c>
      <c r="B21" s="16" t="s">
        <v>66</v>
      </c>
      <c r="C21" s="81" t="s">
        <v>578</v>
      </c>
      <c r="D21" s="72"/>
      <c r="E21" s="34">
        <f>'Stavební rozpočet'!I69</f>
        <v>0</v>
      </c>
      <c r="F21" s="34">
        <f>'Stavební rozpočet'!J69</f>
        <v>0</v>
      </c>
      <c r="G21" s="34">
        <f>'Stavební rozpočet'!K69</f>
        <v>0</v>
      </c>
      <c r="H21" s="34" t="s">
        <v>1097</v>
      </c>
      <c r="I21" s="34">
        <f t="shared" si="0"/>
        <v>0</v>
      </c>
    </row>
    <row r="22" spans="1:9" ht="12.75">
      <c r="A22" s="16" t="s">
        <v>1020</v>
      </c>
      <c r="B22" s="16" t="s">
        <v>67</v>
      </c>
      <c r="C22" s="81" t="s">
        <v>581</v>
      </c>
      <c r="D22" s="72"/>
      <c r="E22" s="34">
        <f>'Stavební rozpočet'!I72</f>
        <v>0</v>
      </c>
      <c r="F22" s="34">
        <f>'Stavební rozpočet'!J72</f>
        <v>0</v>
      </c>
      <c r="G22" s="34">
        <f>'Stavební rozpočet'!K72</f>
        <v>0</v>
      </c>
      <c r="H22" s="34" t="s">
        <v>1097</v>
      </c>
      <c r="I22" s="34">
        <f t="shared" si="0"/>
        <v>0</v>
      </c>
    </row>
    <row r="23" spans="1:9" ht="12.75">
      <c r="A23" s="16" t="s">
        <v>1020</v>
      </c>
      <c r="B23" s="16" t="s">
        <v>68</v>
      </c>
      <c r="C23" s="81" t="s">
        <v>622</v>
      </c>
      <c r="D23" s="72"/>
      <c r="E23" s="34">
        <f>'Stavební rozpočet'!I115</f>
        <v>0</v>
      </c>
      <c r="F23" s="34">
        <f>'Stavební rozpočet'!J115</f>
        <v>0</v>
      </c>
      <c r="G23" s="34">
        <f>'Stavební rozpočet'!K115</f>
        <v>0</v>
      </c>
      <c r="H23" s="34" t="s">
        <v>1097</v>
      </c>
      <c r="I23" s="34">
        <f t="shared" si="0"/>
        <v>0</v>
      </c>
    </row>
    <row r="24" spans="1:9" ht="12.75">
      <c r="A24" s="16" t="s">
        <v>1020</v>
      </c>
      <c r="B24" s="16" t="s">
        <v>365</v>
      </c>
      <c r="C24" s="81" t="s">
        <v>628</v>
      </c>
      <c r="D24" s="72"/>
      <c r="E24" s="34">
        <f>'Stavební rozpočet'!I122</f>
        <v>0</v>
      </c>
      <c r="F24" s="34">
        <f>'Stavební rozpočet'!J122</f>
        <v>0</v>
      </c>
      <c r="G24" s="34">
        <f>'Stavební rozpočet'!K122</f>
        <v>0</v>
      </c>
      <c r="H24" s="34" t="s">
        <v>1097</v>
      </c>
      <c r="I24" s="34">
        <f t="shared" si="0"/>
        <v>0</v>
      </c>
    </row>
    <row r="25" spans="1:9" ht="12.75">
      <c r="A25" s="16" t="s">
        <v>1020</v>
      </c>
      <c r="B25" s="16" t="s">
        <v>372</v>
      </c>
      <c r="C25" s="81" t="s">
        <v>640</v>
      </c>
      <c r="D25" s="72"/>
      <c r="E25" s="34">
        <f>'Stavební rozpočet'!I136</f>
        <v>0</v>
      </c>
      <c r="F25" s="34">
        <f>'Stavební rozpočet'!J136</f>
        <v>0</v>
      </c>
      <c r="G25" s="34">
        <f>'Stavební rozpočet'!K136</f>
        <v>0</v>
      </c>
      <c r="H25" s="34" t="s">
        <v>1097</v>
      </c>
      <c r="I25" s="34">
        <f t="shared" si="0"/>
        <v>0</v>
      </c>
    </row>
    <row r="26" spans="1:9" ht="12.75">
      <c r="A26" s="16" t="s">
        <v>1020</v>
      </c>
      <c r="B26" s="16" t="s">
        <v>380</v>
      </c>
      <c r="C26" s="81" t="s">
        <v>652</v>
      </c>
      <c r="D26" s="72"/>
      <c r="E26" s="34">
        <f>'Stavební rozpočet'!I151</f>
        <v>0</v>
      </c>
      <c r="F26" s="34">
        <f>'Stavební rozpočet'!J151</f>
        <v>0</v>
      </c>
      <c r="G26" s="34">
        <f>'Stavební rozpočet'!K151</f>
        <v>0</v>
      </c>
      <c r="H26" s="34" t="s">
        <v>1097</v>
      </c>
      <c r="I26" s="34">
        <f t="shared" si="0"/>
        <v>0</v>
      </c>
    </row>
    <row r="27" spans="1:9" ht="12.75">
      <c r="A27" s="16" t="s">
        <v>1020</v>
      </c>
      <c r="B27" s="16" t="s">
        <v>385</v>
      </c>
      <c r="C27" s="81" t="s">
        <v>661</v>
      </c>
      <c r="D27" s="72"/>
      <c r="E27" s="34">
        <f>'Stavební rozpočet'!I161</f>
        <v>0</v>
      </c>
      <c r="F27" s="34">
        <f>'Stavební rozpočet'!J161</f>
        <v>0</v>
      </c>
      <c r="G27" s="34">
        <f>'Stavební rozpočet'!K161</f>
        <v>0</v>
      </c>
      <c r="H27" s="34" t="s">
        <v>1097</v>
      </c>
      <c r="I27" s="34">
        <f t="shared" si="0"/>
        <v>0</v>
      </c>
    </row>
    <row r="28" spans="1:9" ht="12.75">
      <c r="A28" s="16" t="s">
        <v>1020</v>
      </c>
      <c r="B28" s="16" t="s">
        <v>391</v>
      </c>
      <c r="C28" s="81" t="s">
        <v>668</v>
      </c>
      <c r="D28" s="72"/>
      <c r="E28" s="34">
        <f>'Stavební rozpočet'!I172</f>
        <v>0</v>
      </c>
      <c r="F28" s="34">
        <f>'Stavební rozpočet'!J172</f>
        <v>0</v>
      </c>
      <c r="G28" s="34">
        <f>'Stavební rozpočet'!K172</f>
        <v>0</v>
      </c>
      <c r="H28" s="34" t="s">
        <v>1097</v>
      </c>
      <c r="I28" s="34">
        <f t="shared" si="0"/>
        <v>0</v>
      </c>
    </row>
    <row r="29" spans="1:9" ht="12.75">
      <c r="A29" s="16" t="s">
        <v>1020</v>
      </c>
      <c r="B29" s="16" t="s">
        <v>402</v>
      </c>
      <c r="C29" s="81" t="s">
        <v>688</v>
      </c>
      <c r="D29" s="72"/>
      <c r="E29" s="34">
        <f>'Stavební rozpočet'!I194</f>
        <v>0</v>
      </c>
      <c r="F29" s="34">
        <f>'Stavební rozpočet'!J194</f>
        <v>0</v>
      </c>
      <c r="G29" s="34">
        <f>'Stavební rozpočet'!K194</f>
        <v>0</v>
      </c>
      <c r="H29" s="34" t="s">
        <v>1097</v>
      </c>
      <c r="I29" s="34">
        <f t="shared" si="0"/>
        <v>0</v>
      </c>
    </row>
    <row r="30" spans="1:9" ht="12.75">
      <c r="A30" s="16" t="s">
        <v>1020</v>
      </c>
      <c r="B30" s="16" t="s">
        <v>411</v>
      </c>
      <c r="C30" s="81" t="s">
        <v>712</v>
      </c>
      <c r="D30" s="72"/>
      <c r="E30" s="34">
        <f>'Stavební rozpočet'!I221</f>
        <v>0</v>
      </c>
      <c r="F30" s="34">
        <f>'Stavební rozpočet'!J221</f>
        <v>0</v>
      </c>
      <c r="G30" s="34">
        <f>'Stavební rozpočet'!K221</f>
        <v>0</v>
      </c>
      <c r="H30" s="34" t="s">
        <v>1097</v>
      </c>
      <c r="I30" s="34">
        <f t="shared" si="0"/>
        <v>0</v>
      </c>
    </row>
    <row r="31" spans="1:9" ht="12.75">
      <c r="A31" s="16" t="s">
        <v>1020</v>
      </c>
      <c r="B31" s="16" t="s">
        <v>95</v>
      </c>
      <c r="C31" s="81" t="s">
        <v>717</v>
      </c>
      <c r="D31" s="72"/>
      <c r="E31" s="34">
        <f>'Stavební rozpočet'!I228</f>
        <v>0</v>
      </c>
      <c r="F31" s="34">
        <f>'Stavební rozpočet'!J228</f>
        <v>0</v>
      </c>
      <c r="G31" s="34">
        <f>'Stavební rozpočet'!K228</f>
        <v>0</v>
      </c>
      <c r="H31" s="34" t="s">
        <v>1097</v>
      </c>
      <c r="I31" s="34">
        <f t="shared" si="0"/>
        <v>0</v>
      </c>
    </row>
    <row r="32" spans="1:9" ht="12.75">
      <c r="A32" s="16" t="s">
        <v>1020</v>
      </c>
      <c r="B32" s="16" t="s">
        <v>96</v>
      </c>
      <c r="C32" s="81" t="s">
        <v>719</v>
      </c>
      <c r="D32" s="72"/>
      <c r="E32" s="34">
        <f>'Stavební rozpočet'!I231</f>
        <v>0</v>
      </c>
      <c r="F32" s="34">
        <f>'Stavební rozpočet'!J231</f>
        <v>0</v>
      </c>
      <c r="G32" s="34">
        <f>'Stavební rozpočet'!K231</f>
        <v>0</v>
      </c>
      <c r="H32" s="34" t="s">
        <v>1097</v>
      </c>
      <c r="I32" s="34">
        <f t="shared" si="0"/>
        <v>0</v>
      </c>
    </row>
    <row r="33" spans="1:9" ht="12.75">
      <c r="A33" s="16" t="s">
        <v>1020</v>
      </c>
      <c r="B33" s="16" t="s">
        <v>99</v>
      </c>
      <c r="C33" s="81" t="s">
        <v>722</v>
      </c>
      <c r="D33" s="72"/>
      <c r="E33" s="34">
        <f>'Stavební rozpočet'!I234</f>
        <v>0</v>
      </c>
      <c r="F33" s="34">
        <f>'Stavební rozpočet'!J234</f>
        <v>0</v>
      </c>
      <c r="G33" s="34">
        <f>'Stavební rozpočet'!K234</f>
        <v>0</v>
      </c>
      <c r="H33" s="34" t="s">
        <v>1097</v>
      </c>
      <c r="I33" s="34">
        <f t="shared" si="0"/>
        <v>0</v>
      </c>
    </row>
    <row r="34" spans="1:9" ht="12.75">
      <c r="A34" s="16" t="s">
        <v>1020</v>
      </c>
      <c r="B34" s="16" t="s">
        <v>100</v>
      </c>
      <c r="C34" s="81" t="s">
        <v>734</v>
      </c>
      <c r="D34" s="72"/>
      <c r="E34" s="34">
        <f>'Stavební rozpočet'!I249</f>
        <v>0</v>
      </c>
      <c r="F34" s="34">
        <f>'Stavební rozpočet'!J249</f>
        <v>0</v>
      </c>
      <c r="G34" s="34">
        <f>'Stavební rozpočet'!K249</f>
        <v>0</v>
      </c>
      <c r="H34" s="34" t="s">
        <v>1097</v>
      </c>
      <c r="I34" s="34">
        <f t="shared" si="0"/>
        <v>0</v>
      </c>
    </row>
    <row r="35" spans="1:9" ht="12.75">
      <c r="A35" s="16" t="s">
        <v>1020</v>
      </c>
      <c r="B35" s="16" t="s">
        <v>102</v>
      </c>
      <c r="C35" s="81" t="s">
        <v>741</v>
      </c>
      <c r="D35" s="72"/>
      <c r="E35" s="34">
        <f>'Stavební rozpočet'!I258</f>
        <v>0</v>
      </c>
      <c r="F35" s="34">
        <f>'Stavební rozpočet'!J258</f>
        <v>0</v>
      </c>
      <c r="G35" s="34">
        <f>'Stavební rozpočet'!K258</f>
        <v>0</v>
      </c>
      <c r="H35" s="34" t="s">
        <v>1097</v>
      </c>
      <c r="I35" s="34">
        <f t="shared" si="0"/>
        <v>0</v>
      </c>
    </row>
    <row r="36" spans="1:9" ht="12.75">
      <c r="A36" s="16" t="s">
        <v>1020</v>
      </c>
      <c r="B36" s="16" t="s">
        <v>430</v>
      </c>
      <c r="C36" s="81" t="s">
        <v>745</v>
      </c>
      <c r="D36" s="72"/>
      <c r="E36" s="34">
        <f>'Stavební rozpočet'!I263</f>
        <v>0</v>
      </c>
      <c r="F36" s="34">
        <f>'Stavební rozpočet'!J263</f>
        <v>0</v>
      </c>
      <c r="G36" s="34">
        <f>'Stavební rozpočet'!K263</f>
        <v>0</v>
      </c>
      <c r="H36" s="34" t="s">
        <v>1097</v>
      </c>
      <c r="I36" s="34">
        <f t="shared" si="0"/>
        <v>0</v>
      </c>
    </row>
    <row r="37" spans="1:9" ht="12.75">
      <c r="A37" s="16" t="s">
        <v>1020</v>
      </c>
      <c r="B37" s="16" t="s">
        <v>432</v>
      </c>
      <c r="C37" s="81" t="s">
        <v>748</v>
      </c>
      <c r="D37" s="72"/>
      <c r="E37" s="34">
        <f>'Stavební rozpočet'!I266</f>
        <v>0</v>
      </c>
      <c r="F37" s="34">
        <f>'Stavební rozpočet'!J266</f>
        <v>0</v>
      </c>
      <c r="G37" s="34">
        <f>'Stavební rozpočet'!K266</f>
        <v>0</v>
      </c>
      <c r="H37" s="34" t="s">
        <v>1097</v>
      </c>
      <c r="I37" s="34">
        <f t="shared" si="0"/>
        <v>0</v>
      </c>
    </row>
    <row r="38" spans="1:9" ht="12.75">
      <c r="A38" s="16" t="s">
        <v>1020</v>
      </c>
      <c r="B38" s="16" t="s">
        <v>448</v>
      </c>
      <c r="C38" s="81" t="s">
        <v>765</v>
      </c>
      <c r="D38" s="72"/>
      <c r="E38" s="34">
        <f>'Stavební rozpočet'!I297</f>
        <v>0</v>
      </c>
      <c r="F38" s="34">
        <f>'Stavební rozpočet'!J297</f>
        <v>0</v>
      </c>
      <c r="G38" s="34">
        <f>'Stavební rozpočet'!K297</f>
        <v>0</v>
      </c>
      <c r="H38" s="34" t="s">
        <v>1097</v>
      </c>
      <c r="I38" s="34">
        <f t="shared" si="0"/>
        <v>0</v>
      </c>
    </row>
    <row r="39" spans="1:9" ht="12.75">
      <c r="A39" s="16" t="s">
        <v>1020</v>
      </c>
      <c r="B39" s="16" t="s">
        <v>452</v>
      </c>
      <c r="C39" s="81" t="s">
        <v>769</v>
      </c>
      <c r="D39" s="72"/>
      <c r="E39" s="34">
        <f>'Stavební rozpočet'!I304</f>
        <v>0</v>
      </c>
      <c r="F39" s="34">
        <f>'Stavební rozpočet'!J304</f>
        <v>0</v>
      </c>
      <c r="G39" s="34">
        <f>'Stavební rozpočet'!K304</f>
        <v>0</v>
      </c>
      <c r="H39" s="34" t="s">
        <v>1097</v>
      </c>
      <c r="I39" s="34">
        <f t="shared" si="0"/>
        <v>0</v>
      </c>
    </row>
    <row r="40" spans="1:9" ht="12.75">
      <c r="A40" s="16" t="s">
        <v>1021</v>
      </c>
      <c r="B40" s="16"/>
      <c r="C40" s="81" t="s">
        <v>783</v>
      </c>
      <c r="D40" s="72"/>
      <c r="E40" s="34">
        <f>'Stavební rozpočet'!I319</f>
        <v>0</v>
      </c>
      <c r="F40" s="34">
        <f>'Stavební rozpočet'!J319</f>
        <v>0</v>
      </c>
      <c r="G40" s="34">
        <f>'Stavební rozpočet'!K319</f>
        <v>0</v>
      </c>
      <c r="H40" s="34" t="s">
        <v>1096</v>
      </c>
      <c r="I40" s="34">
        <f t="shared" si="0"/>
        <v>0</v>
      </c>
    </row>
    <row r="41" spans="1:9" ht="12.75">
      <c r="A41" s="16" t="s">
        <v>1021</v>
      </c>
      <c r="B41" s="16" t="s">
        <v>16</v>
      </c>
      <c r="C41" s="81" t="s">
        <v>532</v>
      </c>
      <c r="D41" s="72"/>
      <c r="E41" s="34">
        <f>'Stavební rozpočet'!I320</f>
        <v>0</v>
      </c>
      <c r="F41" s="34">
        <f>'Stavební rozpočet'!J320</f>
        <v>0</v>
      </c>
      <c r="G41" s="34">
        <f>'Stavební rozpočet'!K320</f>
        <v>0</v>
      </c>
      <c r="H41" s="34" t="s">
        <v>1097</v>
      </c>
      <c r="I41" s="34">
        <f t="shared" si="0"/>
        <v>0</v>
      </c>
    </row>
    <row r="42" spans="1:9" ht="12.75">
      <c r="A42" s="16" t="s">
        <v>1021</v>
      </c>
      <c r="B42" s="16" t="s">
        <v>17</v>
      </c>
      <c r="C42" s="81" t="s">
        <v>795</v>
      </c>
      <c r="D42" s="72"/>
      <c r="E42" s="34">
        <f>'Stavební rozpočet'!I336</f>
        <v>0</v>
      </c>
      <c r="F42" s="34">
        <f>'Stavební rozpočet'!J336</f>
        <v>0</v>
      </c>
      <c r="G42" s="34">
        <f>'Stavební rozpočet'!K336</f>
        <v>0</v>
      </c>
      <c r="H42" s="34" t="s">
        <v>1097</v>
      </c>
      <c r="I42" s="34">
        <f t="shared" si="0"/>
        <v>0</v>
      </c>
    </row>
    <row r="43" spans="1:9" ht="12.75">
      <c r="A43" s="16" t="s">
        <v>1021</v>
      </c>
      <c r="B43" s="16" t="s">
        <v>18</v>
      </c>
      <c r="C43" s="81" t="s">
        <v>535</v>
      </c>
      <c r="D43" s="72"/>
      <c r="E43" s="34">
        <f>'Stavební rozpočet'!I343</f>
        <v>0</v>
      </c>
      <c r="F43" s="34">
        <f>'Stavební rozpočet'!J343</f>
        <v>0</v>
      </c>
      <c r="G43" s="34">
        <f>'Stavební rozpočet'!K343</f>
        <v>0</v>
      </c>
      <c r="H43" s="34" t="s">
        <v>1097</v>
      </c>
      <c r="I43" s="34">
        <f aca="true" t="shared" si="1" ref="I43:I74">IF(H43="F",0,G43)</f>
        <v>0</v>
      </c>
    </row>
    <row r="44" spans="1:9" ht="12.75">
      <c r="A44" s="16" t="s">
        <v>1021</v>
      </c>
      <c r="B44" s="16" t="s">
        <v>21</v>
      </c>
      <c r="C44" s="81" t="s">
        <v>539</v>
      </c>
      <c r="D44" s="72"/>
      <c r="E44" s="34">
        <f>'Stavební rozpočet'!I350</f>
        <v>0</v>
      </c>
      <c r="F44" s="34">
        <f>'Stavební rozpočet'!J350</f>
        <v>0</v>
      </c>
      <c r="G44" s="34">
        <f>'Stavební rozpočet'!K350</f>
        <v>0</v>
      </c>
      <c r="H44" s="34" t="s">
        <v>1097</v>
      </c>
      <c r="I44" s="34">
        <f t="shared" si="1"/>
        <v>0</v>
      </c>
    </row>
    <row r="45" spans="1:9" ht="12.75">
      <c r="A45" s="16" t="s">
        <v>1021</v>
      </c>
      <c r="B45" s="16" t="s">
        <v>22</v>
      </c>
      <c r="C45" s="81" t="s">
        <v>546</v>
      </c>
      <c r="D45" s="72"/>
      <c r="E45" s="34">
        <f>'Stavební rozpočet'!I387</f>
        <v>0</v>
      </c>
      <c r="F45" s="34">
        <f>'Stavební rozpočet'!J387</f>
        <v>0</v>
      </c>
      <c r="G45" s="34">
        <f>'Stavební rozpočet'!K387</f>
        <v>0</v>
      </c>
      <c r="H45" s="34" t="s">
        <v>1097</v>
      </c>
      <c r="I45" s="34">
        <f t="shared" si="1"/>
        <v>0</v>
      </c>
    </row>
    <row r="46" spans="1:9" ht="12.75">
      <c r="A46" s="16" t="s">
        <v>1021</v>
      </c>
      <c r="B46" s="16" t="s">
        <v>23</v>
      </c>
      <c r="C46" s="81" t="s">
        <v>550</v>
      </c>
      <c r="D46" s="72"/>
      <c r="E46" s="34">
        <f>'Stavební rozpočet'!I392</f>
        <v>0</v>
      </c>
      <c r="F46" s="34">
        <f>'Stavební rozpočet'!J392</f>
        <v>0</v>
      </c>
      <c r="G46" s="34">
        <f>'Stavební rozpočet'!K392</f>
        <v>0</v>
      </c>
      <c r="H46" s="34" t="s">
        <v>1097</v>
      </c>
      <c r="I46" s="34">
        <f t="shared" si="1"/>
        <v>0</v>
      </c>
    </row>
    <row r="47" spans="1:9" ht="12.75">
      <c r="A47" s="16" t="s">
        <v>1021</v>
      </c>
      <c r="B47" s="16" t="s">
        <v>24</v>
      </c>
      <c r="C47" s="81" t="s">
        <v>555</v>
      </c>
      <c r="D47" s="72"/>
      <c r="E47" s="34">
        <f>'Stavební rozpočet'!I395</f>
        <v>0</v>
      </c>
      <c r="F47" s="34">
        <f>'Stavební rozpočet'!J395</f>
        <v>0</v>
      </c>
      <c r="G47" s="34">
        <f>'Stavební rozpočet'!K395</f>
        <v>0</v>
      </c>
      <c r="H47" s="34" t="s">
        <v>1097</v>
      </c>
      <c r="I47" s="34">
        <f t="shared" si="1"/>
        <v>0</v>
      </c>
    </row>
    <row r="48" spans="1:9" ht="12.75">
      <c r="A48" s="16" t="s">
        <v>1021</v>
      </c>
      <c r="B48" s="16" t="s">
        <v>26</v>
      </c>
      <c r="C48" s="81" t="s">
        <v>819</v>
      </c>
      <c r="D48" s="72"/>
      <c r="E48" s="34">
        <f>'Stavební rozpočet'!I398</f>
        <v>0</v>
      </c>
      <c r="F48" s="34">
        <f>'Stavební rozpočet'!J398</f>
        <v>0</v>
      </c>
      <c r="G48" s="34">
        <f>'Stavební rozpočet'!K398</f>
        <v>0</v>
      </c>
      <c r="H48" s="34" t="s">
        <v>1097</v>
      </c>
      <c r="I48" s="34">
        <f t="shared" si="1"/>
        <v>0</v>
      </c>
    </row>
    <row r="49" spans="1:9" ht="12.75">
      <c r="A49" s="16" t="s">
        <v>1021</v>
      </c>
      <c r="B49" s="16" t="s">
        <v>36</v>
      </c>
      <c r="C49" s="81" t="s">
        <v>821</v>
      </c>
      <c r="D49" s="72"/>
      <c r="E49" s="34">
        <f>'Stavební rozpočet'!I401</f>
        <v>0</v>
      </c>
      <c r="F49" s="34">
        <f>'Stavební rozpočet'!J401</f>
        <v>0</v>
      </c>
      <c r="G49" s="34">
        <f>'Stavební rozpočet'!K401</f>
        <v>0</v>
      </c>
      <c r="H49" s="34" t="s">
        <v>1097</v>
      </c>
      <c r="I49" s="34">
        <f t="shared" si="1"/>
        <v>0</v>
      </c>
    </row>
    <row r="50" spans="1:9" ht="12.75">
      <c r="A50" s="16" t="s">
        <v>1021</v>
      </c>
      <c r="B50" s="16" t="s">
        <v>43</v>
      </c>
      <c r="C50" s="81" t="s">
        <v>823</v>
      </c>
      <c r="D50" s="72"/>
      <c r="E50" s="34">
        <f>'Stavební rozpočet'!I404</f>
        <v>0</v>
      </c>
      <c r="F50" s="34">
        <f>'Stavební rozpočet'!J404</f>
        <v>0</v>
      </c>
      <c r="G50" s="34">
        <f>'Stavební rozpočet'!K404</f>
        <v>0</v>
      </c>
      <c r="H50" s="34" t="s">
        <v>1097</v>
      </c>
      <c r="I50" s="34">
        <f t="shared" si="1"/>
        <v>0</v>
      </c>
    </row>
    <row r="51" spans="1:9" ht="12.75">
      <c r="A51" s="16" t="s">
        <v>1021</v>
      </c>
      <c r="B51" s="16" t="s">
        <v>50</v>
      </c>
      <c r="C51" s="81" t="s">
        <v>557</v>
      </c>
      <c r="D51" s="72"/>
      <c r="E51" s="34">
        <f>'Stavební rozpočet'!I411</f>
        <v>0</v>
      </c>
      <c r="F51" s="34">
        <f>'Stavební rozpočet'!J411</f>
        <v>0</v>
      </c>
      <c r="G51" s="34">
        <f>'Stavební rozpočet'!K411</f>
        <v>0</v>
      </c>
      <c r="H51" s="34" t="s">
        <v>1097</v>
      </c>
      <c r="I51" s="34">
        <f t="shared" si="1"/>
        <v>0</v>
      </c>
    </row>
    <row r="52" spans="1:9" ht="12.75">
      <c r="A52" s="16" t="s">
        <v>1021</v>
      </c>
      <c r="B52" s="16" t="s">
        <v>61</v>
      </c>
      <c r="C52" s="81" t="s">
        <v>831</v>
      </c>
      <c r="D52" s="72"/>
      <c r="E52" s="34">
        <f>'Stavební rozpočet'!I414</f>
        <v>0</v>
      </c>
      <c r="F52" s="34">
        <f>'Stavební rozpočet'!J414</f>
        <v>0</v>
      </c>
      <c r="G52" s="34">
        <f>'Stavební rozpočet'!K414</f>
        <v>0</v>
      </c>
      <c r="H52" s="34" t="s">
        <v>1097</v>
      </c>
      <c r="I52" s="34">
        <f t="shared" si="1"/>
        <v>0</v>
      </c>
    </row>
    <row r="53" spans="1:9" ht="12.75">
      <c r="A53" s="16" t="s">
        <v>1021</v>
      </c>
      <c r="B53" s="16" t="s">
        <v>64</v>
      </c>
      <c r="C53" s="81" t="s">
        <v>560</v>
      </c>
      <c r="D53" s="72"/>
      <c r="E53" s="34">
        <f>'Stavební rozpočet'!I418</f>
        <v>0</v>
      </c>
      <c r="F53" s="34">
        <f>'Stavební rozpočet'!J418</f>
        <v>0</v>
      </c>
      <c r="G53" s="34">
        <f>'Stavební rozpočet'!K418</f>
        <v>0</v>
      </c>
      <c r="H53" s="34" t="s">
        <v>1097</v>
      </c>
      <c r="I53" s="34">
        <f t="shared" si="1"/>
        <v>0</v>
      </c>
    </row>
    <row r="54" spans="1:9" ht="12.75">
      <c r="A54" s="16" t="s">
        <v>1021</v>
      </c>
      <c r="B54" s="16" t="s">
        <v>11</v>
      </c>
      <c r="C54" s="81" t="s">
        <v>565</v>
      </c>
      <c r="D54" s="72"/>
      <c r="E54" s="34">
        <f>'Stavební rozpočet'!I434</f>
        <v>0</v>
      </c>
      <c r="F54" s="34">
        <f>'Stavební rozpočet'!J434</f>
        <v>0</v>
      </c>
      <c r="G54" s="34">
        <f>'Stavební rozpočet'!K434</f>
        <v>0</v>
      </c>
      <c r="H54" s="34" t="s">
        <v>1097</v>
      </c>
      <c r="I54" s="34">
        <f t="shared" si="1"/>
        <v>0</v>
      </c>
    </row>
    <row r="55" spans="1:9" ht="12.75">
      <c r="A55" s="16" t="s">
        <v>1021</v>
      </c>
      <c r="B55" s="16" t="s">
        <v>66</v>
      </c>
      <c r="C55" s="81" t="s">
        <v>578</v>
      </c>
      <c r="D55" s="72"/>
      <c r="E55" s="34">
        <f>'Stavební rozpočet'!I445</f>
        <v>0</v>
      </c>
      <c r="F55" s="34">
        <f>'Stavební rozpočet'!J445</f>
        <v>0</v>
      </c>
      <c r="G55" s="34">
        <f>'Stavební rozpočet'!K445</f>
        <v>0</v>
      </c>
      <c r="H55" s="34" t="s">
        <v>1097</v>
      </c>
      <c r="I55" s="34">
        <f t="shared" si="1"/>
        <v>0</v>
      </c>
    </row>
    <row r="56" spans="1:9" ht="12.75">
      <c r="A56" s="16" t="s">
        <v>1021</v>
      </c>
      <c r="B56" s="16" t="s">
        <v>67</v>
      </c>
      <c r="C56" s="81" t="s">
        <v>581</v>
      </c>
      <c r="D56" s="72"/>
      <c r="E56" s="34">
        <f>'Stavební rozpočet'!I448</f>
        <v>0</v>
      </c>
      <c r="F56" s="34">
        <f>'Stavební rozpočet'!J448</f>
        <v>0</v>
      </c>
      <c r="G56" s="34">
        <f>'Stavební rozpočet'!K448</f>
        <v>0</v>
      </c>
      <c r="H56" s="34" t="s">
        <v>1097</v>
      </c>
      <c r="I56" s="34">
        <f t="shared" si="1"/>
        <v>0</v>
      </c>
    </row>
    <row r="57" spans="1:9" ht="12.75">
      <c r="A57" s="16" t="s">
        <v>1021</v>
      </c>
      <c r="B57" s="16" t="s">
        <v>68</v>
      </c>
      <c r="C57" s="81" t="s">
        <v>622</v>
      </c>
      <c r="D57" s="72"/>
      <c r="E57" s="34">
        <f>'Stavební rozpočet'!I506</f>
        <v>0</v>
      </c>
      <c r="F57" s="34">
        <f>'Stavební rozpočet'!J506</f>
        <v>0</v>
      </c>
      <c r="G57" s="34">
        <f>'Stavební rozpočet'!K506</f>
        <v>0</v>
      </c>
      <c r="H57" s="34" t="s">
        <v>1097</v>
      </c>
      <c r="I57" s="34">
        <f t="shared" si="1"/>
        <v>0</v>
      </c>
    </row>
    <row r="58" spans="1:9" ht="12.75">
      <c r="A58" s="16" t="s">
        <v>1021</v>
      </c>
      <c r="B58" s="16" t="s">
        <v>365</v>
      </c>
      <c r="C58" s="81" t="s">
        <v>628</v>
      </c>
      <c r="D58" s="72"/>
      <c r="E58" s="34">
        <f>'Stavební rozpočet'!I513</f>
        <v>0</v>
      </c>
      <c r="F58" s="34">
        <f>'Stavební rozpočet'!J513</f>
        <v>0</v>
      </c>
      <c r="G58" s="34">
        <f>'Stavební rozpočet'!K513</f>
        <v>0</v>
      </c>
      <c r="H58" s="34" t="s">
        <v>1097</v>
      </c>
      <c r="I58" s="34">
        <f t="shared" si="1"/>
        <v>0</v>
      </c>
    </row>
    <row r="59" spans="1:9" ht="12.75">
      <c r="A59" s="16" t="s">
        <v>1021</v>
      </c>
      <c r="B59" s="16" t="s">
        <v>372</v>
      </c>
      <c r="C59" s="81" t="s">
        <v>640</v>
      </c>
      <c r="D59" s="72"/>
      <c r="E59" s="34">
        <f>'Stavební rozpočet'!I529</f>
        <v>0</v>
      </c>
      <c r="F59" s="34">
        <f>'Stavební rozpočet'!J529</f>
        <v>0</v>
      </c>
      <c r="G59" s="34">
        <f>'Stavební rozpočet'!K529</f>
        <v>0</v>
      </c>
      <c r="H59" s="34" t="s">
        <v>1097</v>
      </c>
      <c r="I59" s="34">
        <f t="shared" si="1"/>
        <v>0</v>
      </c>
    </row>
    <row r="60" spans="1:9" ht="12.75">
      <c r="A60" s="16" t="s">
        <v>1021</v>
      </c>
      <c r="B60" s="16" t="s">
        <v>380</v>
      </c>
      <c r="C60" s="81" t="s">
        <v>652</v>
      </c>
      <c r="D60" s="72"/>
      <c r="E60" s="34">
        <f>'Stavební rozpočet'!I544</f>
        <v>0</v>
      </c>
      <c r="F60" s="34">
        <f>'Stavební rozpočet'!J544</f>
        <v>0</v>
      </c>
      <c r="G60" s="34">
        <f>'Stavební rozpočet'!K544</f>
        <v>0</v>
      </c>
      <c r="H60" s="34" t="s">
        <v>1097</v>
      </c>
      <c r="I60" s="34">
        <f t="shared" si="1"/>
        <v>0</v>
      </c>
    </row>
    <row r="61" spans="1:9" ht="12.75">
      <c r="A61" s="16" t="s">
        <v>1021</v>
      </c>
      <c r="B61" s="16" t="s">
        <v>485</v>
      </c>
      <c r="C61" s="81" t="s">
        <v>883</v>
      </c>
      <c r="D61" s="72"/>
      <c r="E61" s="34">
        <f>'Stavební rozpočet'!I554</f>
        <v>0</v>
      </c>
      <c r="F61" s="34">
        <f>'Stavební rozpočet'!J554</f>
        <v>0</v>
      </c>
      <c r="G61" s="34">
        <f>'Stavební rozpočet'!K554</f>
        <v>0</v>
      </c>
      <c r="H61" s="34" t="s">
        <v>1097</v>
      </c>
      <c r="I61" s="34">
        <f t="shared" si="1"/>
        <v>0</v>
      </c>
    </row>
    <row r="62" spans="1:9" ht="12.75">
      <c r="A62" s="16" t="s">
        <v>1021</v>
      </c>
      <c r="B62" s="16" t="s">
        <v>385</v>
      </c>
      <c r="C62" s="81" t="s">
        <v>661</v>
      </c>
      <c r="D62" s="72"/>
      <c r="E62" s="34">
        <f>'Stavební rozpočet'!I561</f>
        <v>0</v>
      </c>
      <c r="F62" s="34">
        <f>'Stavební rozpočet'!J561</f>
        <v>0</v>
      </c>
      <c r="G62" s="34">
        <f>'Stavební rozpočet'!K561</f>
        <v>0</v>
      </c>
      <c r="H62" s="34" t="s">
        <v>1097</v>
      </c>
      <c r="I62" s="34">
        <f t="shared" si="1"/>
        <v>0</v>
      </c>
    </row>
    <row r="63" spans="1:9" ht="12.75">
      <c r="A63" s="16" t="s">
        <v>1021</v>
      </c>
      <c r="B63" s="16" t="s">
        <v>391</v>
      </c>
      <c r="C63" s="81" t="s">
        <v>668</v>
      </c>
      <c r="D63" s="72"/>
      <c r="E63" s="34">
        <f>'Stavební rozpočet'!I572</f>
        <v>0</v>
      </c>
      <c r="F63" s="34">
        <f>'Stavební rozpočet'!J572</f>
        <v>0</v>
      </c>
      <c r="G63" s="34">
        <f>'Stavební rozpočet'!K572</f>
        <v>0</v>
      </c>
      <c r="H63" s="34" t="s">
        <v>1097</v>
      </c>
      <c r="I63" s="34">
        <f t="shared" si="1"/>
        <v>0</v>
      </c>
    </row>
    <row r="64" spans="1:9" ht="12.75">
      <c r="A64" s="16" t="s">
        <v>1021</v>
      </c>
      <c r="B64" s="16" t="s">
        <v>402</v>
      </c>
      <c r="C64" s="81" t="s">
        <v>688</v>
      </c>
      <c r="D64" s="72"/>
      <c r="E64" s="34">
        <f>'Stavební rozpočet'!I596</f>
        <v>0</v>
      </c>
      <c r="F64" s="34">
        <f>'Stavební rozpočet'!J596</f>
        <v>0</v>
      </c>
      <c r="G64" s="34">
        <f>'Stavební rozpočet'!K596</f>
        <v>0</v>
      </c>
      <c r="H64" s="34" t="s">
        <v>1097</v>
      </c>
      <c r="I64" s="34">
        <f t="shared" si="1"/>
        <v>0</v>
      </c>
    </row>
    <row r="65" spans="1:9" ht="12.75">
      <c r="A65" s="16" t="s">
        <v>1021</v>
      </c>
      <c r="B65" s="16" t="s">
        <v>411</v>
      </c>
      <c r="C65" s="81" t="s">
        <v>712</v>
      </c>
      <c r="D65" s="72"/>
      <c r="E65" s="34">
        <f>'Stavební rozpočet'!I622</f>
        <v>0</v>
      </c>
      <c r="F65" s="34">
        <f>'Stavební rozpočet'!J622</f>
        <v>0</v>
      </c>
      <c r="G65" s="34">
        <f>'Stavební rozpočet'!K622</f>
        <v>0</v>
      </c>
      <c r="H65" s="34" t="s">
        <v>1097</v>
      </c>
      <c r="I65" s="34">
        <f t="shared" si="1"/>
        <v>0</v>
      </c>
    </row>
    <row r="66" spans="1:9" ht="12.75">
      <c r="A66" s="16" t="s">
        <v>1021</v>
      </c>
      <c r="B66" s="16" t="s">
        <v>494</v>
      </c>
      <c r="C66" s="81" t="s">
        <v>908</v>
      </c>
      <c r="D66" s="72"/>
      <c r="E66" s="34">
        <f>'Stavební rozpočet'!I629</f>
        <v>0</v>
      </c>
      <c r="F66" s="34">
        <f>'Stavební rozpočet'!J629</f>
        <v>0</v>
      </c>
      <c r="G66" s="34">
        <f>'Stavební rozpočet'!K629</f>
        <v>0</v>
      </c>
      <c r="H66" s="34" t="s">
        <v>1097</v>
      </c>
      <c r="I66" s="34">
        <f t="shared" si="1"/>
        <v>0</v>
      </c>
    </row>
    <row r="67" spans="1:9" ht="12.75">
      <c r="A67" s="16" t="s">
        <v>1021</v>
      </c>
      <c r="B67" s="16" t="s">
        <v>499</v>
      </c>
      <c r="C67" s="81" t="s">
        <v>917</v>
      </c>
      <c r="D67" s="72"/>
      <c r="E67" s="34">
        <f>'Stavební rozpočet'!I639</f>
        <v>0</v>
      </c>
      <c r="F67" s="34">
        <f>'Stavební rozpočet'!J639</f>
        <v>0</v>
      </c>
      <c r="G67" s="34">
        <f>'Stavební rozpočet'!K639</f>
        <v>0</v>
      </c>
      <c r="H67" s="34" t="s">
        <v>1097</v>
      </c>
      <c r="I67" s="34">
        <f t="shared" si="1"/>
        <v>0</v>
      </c>
    </row>
    <row r="68" spans="1:9" ht="12.75">
      <c r="A68" s="16" t="s">
        <v>1021</v>
      </c>
      <c r="B68" s="16" t="s">
        <v>95</v>
      </c>
      <c r="C68" s="81" t="s">
        <v>717</v>
      </c>
      <c r="D68" s="72"/>
      <c r="E68" s="34">
        <f>'Stavební rozpočet'!I642</f>
        <v>0</v>
      </c>
      <c r="F68" s="34">
        <f>'Stavební rozpočet'!J642</f>
        <v>0</v>
      </c>
      <c r="G68" s="34">
        <f>'Stavební rozpočet'!K642</f>
        <v>0</v>
      </c>
      <c r="H68" s="34" t="s">
        <v>1097</v>
      </c>
      <c r="I68" s="34">
        <f t="shared" si="1"/>
        <v>0</v>
      </c>
    </row>
    <row r="69" spans="1:9" ht="12.75">
      <c r="A69" s="16" t="s">
        <v>1021</v>
      </c>
      <c r="B69" s="16" t="s">
        <v>96</v>
      </c>
      <c r="C69" s="81" t="s">
        <v>719</v>
      </c>
      <c r="D69" s="72"/>
      <c r="E69" s="34">
        <f>'Stavební rozpočet'!I645</f>
        <v>0</v>
      </c>
      <c r="F69" s="34">
        <f>'Stavební rozpočet'!J645</f>
        <v>0</v>
      </c>
      <c r="G69" s="34">
        <f>'Stavební rozpočet'!K645</f>
        <v>0</v>
      </c>
      <c r="H69" s="34" t="s">
        <v>1097</v>
      </c>
      <c r="I69" s="34">
        <f t="shared" si="1"/>
        <v>0</v>
      </c>
    </row>
    <row r="70" spans="1:9" ht="12.75">
      <c r="A70" s="16" t="s">
        <v>1021</v>
      </c>
      <c r="B70" s="16" t="s">
        <v>99</v>
      </c>
      <c r="C70" s="81" t="s">
        <v>722</v>
      </c>
      <c r="D70" s="72"/>
      <c r="E70" s="34">
        <f>'Stavební rozpočet'!I649</f>
        <v>0</v>
      </c>
      <c r="F70" s="34">
        <f>'Stavební rozpočet'!J649</f>
        <v>0</v>
      </c>
      <c r="G70" s="34">
        <f>'Stavební rozpočet'!K649</f>
        <v>0</v>
      </c>
      <c r="H70" s="34" t="s">
        <v>1097</v>
      </c>
      <c r="I70" s="34">
        <f t="shared" si="1"/>
        <v>0</v>
      </c>
    </row>
    <row r="71" spans="1:9" ht="12.75">
      <c r="A71" s="16" t="s">
        <v>1021</v>
      </c>
      <c r="B71" s="16" t="s">
        <v>100</v>
      </c>
      <c r="C71" s="81" t="s">
        <v>734</v>
      </c>
      <c r="D71" s="72"/>
      <c r="E71" s="34">
        <f>'Stavební rozpočet'!I670</f>
        <v>0</v>
      </c>
      <c r="F71" s="34">
        <f>'Stavební rozpočet'!J670</f>
        <v>0</v>
      </c>
      <c r="G71" s="34">
        <f>'Stavební rozpočet'!K670</f>
        <v>0</v>
      </c>
      <c r="H71" s="34" t="s">
        <v>1097</v>
      </c>
      <c r="I71" s="34">
        <f t="shared" si="1"/>
        <v>0</v>
      </c>
    </row>
    <row r="72" spans="1:9" ht="12.75">
      <c r="A72" s="16" t="s">
        <v>1021</v>
      </c>
      <c r="B72" s="16" t="s">
        <v>102</v>
      </c>
      <c r="C72" s="81" t="s">
        <v>741</v>
      </c>
      <c r="D72" s="72"/>
      <c r="E72" s="34">
        <f>'Stavební rozpočet'!I679</f>
        <v>0</v>
      </c>
      <c r="F72" s="34">
        <f>'Stavební rozpočet'!J679</f>
        <v>0</v>
      </c>
      <c r="G72" s="34">
        <f>'Stavební rozpočet'!K679</f>
        <v>0</v>
      </c>
      <c r="H72" s="34" t="s">
        <v>1097</v>
      </c>
      <c r="I72" s="34">
        <f t="shared" si="1"/>
        <v>0</v>
      </c>
    </row>
    <row r="73" spans="1:9" ht="12.75">
      <c r="A73" s="16" t="s">
        <v>1021</v>
      </c>
      <c r="B73" s="16" t="s">
        <v>430</v>
      </c>
      <c r="C73" s="81" t="s">
        <v>745</v>
      </c>
      <c r="D73" s="72"/>
      <c r="E73" s="34">
        <f>'Stavební rozpočet'!I686</f>
        <v>0</v>
      </c>
      <c r="F73" s="34">
        <f>'Stavební rozpočet'!J686</f>
        <v>0</v>
      </c>
      <c r="G73" s="34">
        <f>'Stavební rozpočet'!K686</f>
        <v>0</v>
      </c>
      <c r="H73" s="34" t="s">
        <v>1097</v>
      </c>
      <c r="I73" s="34">
        <f t="shared" si="1"/>
        <v>0</v>
      </c>
    </row>
    <row r="74" spans="1:9" ht="12.75">
      <c r="A74" s="16" t="s">
        <v>1021</v>
      </c>
      <c r="B74" s="16" t="s">
        <v>432</v>
      </c>
      <c r="C74" s="81" t="s">
        <v>748</v>
      </c>
      <c r="D74" s="72"/>
      <c r="E74" s="34">
        <f>'Stavební rozpočet'!I688</f>
        <v>0</v>
      </c>
      <c r="F74" s="34">
        <f>'Stavební rozpočet'!J688</f>
        <v>0</v>
      </c>
      <c r="G74" s="34">
        <f>'Stavební rozpočet'!K688</f>
        <v>0</v>
      </c>
      <c r="H74" s="34" t="s">
        <v>1097</v>
      </c>
      <c r="I74" s="34">
        <f t="shared" si="1"/>
        <v>0</v>
      </c>
    </row>
    <row r="75" spans="1:9" ht="12.75">
      <c r="A75" s="16" t="s">
        <v>1021</v>
      </c>
      <c r="B75" s="16" t="s">
        <v>448</v>
      </c>
      <c r="C75" s="81" t="s">
        <v>765</v>
      </c>
      <c r="D75" s="72"/>
      <c r="E75" s="34">
        <f>'Stavební rozpočet'!I715</f>
        <v>0</v>
      </c>
      <c r="F75" s="34">
        <f>'Stavební rozpočet'!J715</f>
        <v>0</v>
      </c>
      <c r="G75" s="34">
        <f>'Stavební rozpočet'!K715</f>
        <v>0</v>
      </c>
      <c r="H75" s="34" t="s">
        <v>1097</v>
      </c>
      <c r="I75" s="34">
        <f>IF(H75="F",0,G75)</f>
        <v>0</v>
      </c>
    </row>
    <row r="76" spans="1:9" ht="12.75">
      <c r="A76" s="16" t="s">
        <v>1021</v>
      </c>
      <c r="B76" s="16" t="s">
        <v>452</v>
      </c>
      <c r="C76" s="81" t="s">
        <v>769</v>
      </c>
      <c r="D76" s="72"/>
      <c r="E76" s="34">
        <f>'Stavební rozpočet'!I730</f>
        <v>0</v>
      </c>
      <c r="F76" s="34">
        <f>'Stavební rozpočet'!J730</f>
        <v>0</v>
      </c>
      <c r="G76" s="34">
        <f>'Stavební rozpočet'!K730</f>
        <v>0</v>
      </c>
      <c r="H76" s="34" t="s">
        <v>1097</v>
      </c>
      <c r="I76" s="34">
        <f>IF(H76="F",0,G76)</f>
        <v>0</v>
      </c>
    </row>
    <row r="77" spans="1:9" ht="12.75">
      <c r="A77" s="16" t="s">
        <v>1022</v>
      </c>
      <c r="B77" s="16"/>
      <c r="C77" s="81" t="s">
        <v>951</v>
      </c>
      <c r="D77" s="72"/>
      <c r="E77" s="34">
        <f>'Stavební rozpočet'!I747</f>
        <v>0</v>
      </c>
      <c r="F77" s="34">
        <f>'Stavební rozpočet'!J747</f>
        <v>0</v>
      </c>
      <c r="G77" s="34">
        <f>'Stavební rozpočet'!K747</f>
        <v>0</v>
      </c>
      <c r="H77" s="34" t="s">
        <v>1096</v>
      </c>
      <c r="I77" s="34">
        <f>IF(H77="F",0,G77)</f>
        <v>0</v>
      </c>
    </row>
    <row r="78" spans="1:9" ht="12.75">
      <c r="A78" s="16" t="s">
        <v>1022</v>
      </c>
      <c r="B78" s="16" t="s">
        <v>510</v>
      </c>
      <c r="C78" s="81" t="s">
        <v>952</v>
      </c>
      <c r="D78" s="72"/>
      <c r="E78" s="34">
        <f>'Stavební rozpočet'!I748</f>
        <v>0</v>
      </c>
      <c r="F78" s="34">
        <f>'Stavební rozpočet'!J748</f>
        <v>0</v>
      </c>
      <c r="G78" s="34">
        <f>'Stavební rozpočet'!K748</f>
        <v>0</v>
      </c>
      <c r="H78" s="34" t="s">
        <v>1097</v>
      </c>
      <c r="I78" s="34">
        <f>IF(H78="F",0,G78)</f>
        <v>0</v>
      </c>
    </row>
    <row r="79" spans="1:9" ht="12.75">
      <c r="A79" s="16" t="s">
        <v>1023</v>
      </c>
      <c r="B79" s="16"/>
      <c r="C79" s="81" t="s">
        <v>959</v>
      </c>
      <c r="D79" s="72"/>
      <c r="E79" s="34">
        <f>'Stavební rozpočet'!I759</f>
        <v>0</v>
      </c>
      <c r="F79" s="34">
        <f>'Stavební rozpočet'!J759</f>
        <v>0</v>
      </c>
      <c r="G79" s="34">
        <f>'Stavební rozpočet'!K759</f>
        <v>0</v>
      </c>
      <c r="H79" s="34" t="s">
        <v>1096</v>
      </c>
      <c r="I79" s="34">
        <f>IF(H79="F",0,G79)</f>
        <v>0</v>
      </c>
    </row>
    <row r="80" spans="1:9" ht="12.75">
      <c r="A80" s="16" t="s">
        <v>1023</v>
      </c>
      <c r="B80" s="16" t="s">
        <v>23</v>
      </c>
      <c r="C80" s="81" t="s">
        <v>550</v>
      </c>
      <c r="D80" s="72"/>
      <c r="E80" s="34">
        <f>'Stavební rozpočet'!I760</f>
        <v>0</v>
      </c>
      <c r="F80" s="34">
        <f>'Stavební rozpočet'!J760</f>
        <v>0</v>
      </c>
      <c r="G80" s="34">
        <f>'Stavební rozpočet'!K760</f>
        <v>0</v>
      </c>
      <c r="H80" s="34" t="s">
        <v>1097</v>
      </c>
      <c r="I80" s="34">
        <f>IF(H80="F",0,G80)</f>
        <v>0</v>
      </c>
    </row>
    <row r="81" spans="1:9" ht="12.75">
      <c r="A81" s="16" t="s">
        <v>1023</v>
      </c>
      <c r="B81" s="16" t="s">
        <v>516</v>
      </c>
      <c r="C81" s="81" t="s">
        <v>964</v>
      </c>
      <c r="D81" s="72"/>
      <c r="E81" s="34">
        <f>'Stavební rozpočet'!I765</f>
        <v>0</v>
      </c>
      <c r="F81" s="34">
        <f>'Stavební rozpočet'!J765</f>
        <v>0</v>
      </c>
      <c r="G81" s="34">
        <f>'Stavební rozpočet'!K765</f>
        <v>0</v>
      </c>
      <c r="H81" s="34" t="s">
        <v>1097</v>
      </c>
      <c r="I81" s="34">
        <f>IF(H81="F",0,G81)</f>
        <v>0</v>
      </c>
    </row>
    <row r="82" spans="1:9" ht="12.75">
      <c r="A82" s="16" t="s">
        <v>1023</v>
      </c>
      <c r="B82" s="16" t="s">
        <v>448</v>
      </c>
      <c r="C82" s="81" t="s">
        <v>765</v>
      </c>
      <c r="D82" s="72"/>
      <c r="E82" s="34">
        <f>'Stavební rozpočet'!I770</f>
        <v>0</v>
      </c>
      <c r="F82" s="34">
        <f>'Stavební rozpočet'!J770</f>
        <v>0</v>
      </c>
      <c r="G82" s="34">
        <f>'Stavební rozpočet'!K770</f>
        <v>0</v>
      </c>
      <c r="H82" s="34" t="s">
        <v>1097</v>
      </c>
      <c r="I82" s="34">
        <f>IF(H82="F",0,G82)</f>
        <v>0</v>
      </c>
    </row>
    <row r="83" spans="1:9" ht="12.75">
      <c r="A83" s="16" t="s">
        <v>1023</v>
      </c>
      <c r="B83" s="16" t="s">
        <v>521</v>
      </c>
      <c r="C83" s="81" t="s">
        <v>971</v>
      </c>
      <c r="D83" s="72"/>
      <c r="E83" s="34">
        <f>'Stavební rozpočet'!I775</f>
        <v>0</v>
      </c>
      <c r="F83" s="34">
        <f>'Stavební rozpočet'!J775</f>
        <v>0</v>
      </c>
      <c r="G83" s="34">
        <f>'Stavební rozpočet'!K775</f>
        <v>0</v>
      </c>
      <c r="H83" s="34" t="s">
        <v>1097</v>
      </c>
      <c r="I83" s="34">
        <f>IF(H83="F",0,G83)</f>
        <v>0</v>
      </c>
    </row>
    <row r="85" spans="6:7" ht="12.75">
      <c r="F85" s="44" t="s">
        <v>1006</v>
      </c>
      <c r="G85" s="46">
        <f>SUM(I11:I83)</f>
        <v>0</v>
      </c>
    </row>
  </sheetData>
  <sheetProtection/>
  <mergeCells count="91">
    <mergeCell ref="C82:D82"/>
    <mergeCell ref="C83:D83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2" sqref="A2:B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15" t="s">
        <v>1144</v>
      </c>
      <c r="B1" s="115"/>
      <c r="C1" s="115"/>
      <c r="D1" s="115"/>
      <c r="E1" s="115"/>
      <c r="F1" s="115"/>
      <c r="G1" s="115"/>
      <c r="H1" s="115"/>
      <c r="I1" s="115"/>
    </row>
    <row r="2" spans="1:10" ht="12.75">
      <c r="A2" s="69" t="s">
        <v>0</v>
      </c>
      <c r="B2" s="70"/>
      <c r="C2" s="73" t="str">
        <f>'Stavební rozpočet'!C2</f>
        <v>ZŠ Brno, Hroznová 1, p. o., objekty školiček - rekonstrukce učeben a sociálního zařízení - zateplení</v>
      </c>
      <c r="D2" s="110"/>
      <c r="E2" s="76" t="s">
        <v>996</v>
      </c>
      <c r="F2" s="76" t="str">
        <f>'Stavební rozpočet'!I2</f>
        <v>Městská část Brno-střed</v>
      </c>
      <c r="G2" s="70"/>
      <c r="H2" s="76" t="s">
        <v>1136</v>
      </c>
      <c r="I2" s="116" t="s">
        <v>1140</v>
      </c>
      <c r="J2" s="32"/>
    </row>
    <row r="3" spans="1:10" ht="25.5" customHeight="1">
      <c r="A3" s="71"/>
      <c r="B3" s="72"/>
      <c r="C3" s="74"/>
      <c r="D3" s="74"/>
      <c r="E3" s="72"/>
      <c r="F3" s="72"/>
      <c r="G3" s="72"/>
      <c r="H3" s="72"/>
      <c r="I3" s="78"/>
      <c r="J3" s="32"/>
    </row>
    <row r="4" spans="1:10" ht="12.75">
      <c r="A4" s="79" t="s">
        <v>1</v>
      </c>
      <c r="B4" s="72"/>
      <c r="C4" s="80" t="str">
        <f>'Stavební rozpočet'!C4</f>
        <v>Udržovací práce</v>
      </c>
      <c r="D4" s="72"/>
      <c r="E4" s="80" t="s">
        <v>997</v>
      </c>
      <c r="F4" s="80" t="str">
        <f>'Stavební rozpočet'!I4</f>
        <v>ENERGY BENEFIT CENTRE a.s.</v>
      </c>
      <c r="G4" s="72"/>
      <c r="H4" s="80" t="s">
        <v>1136</v>
      </c>
      <c r="I4" s="117" t="s">
        <v>1141</v>
      </c>
      <c r="J4" s="32"/>
    </row>
    <row r="5" spans="1:10" ht="12.75">
      <c r="A5" s="71"/>
      <c r="B5" s="72"/>
      <c r="C5" s="72"/>
      <c r="D5" s="72"/>
      <c r="E5" s="72"/>
      <c r="F5" s="72"/>
      <c r="G5" s="72"/>
      <c r="H5" s="72"/>
      <c r="I5" s="78"/>
      <c r="J5" s="32"/>
    </row>
    <row r="6" spans="1:10" ht="12.75">
      <c r="A6" s="79" t="s">
        <v>2</v>
      </c>
      <c r="B6" s="72"/>
      <c r="C6" s="80" t="str">
        <f>'Stavební rozpočet'!C6</f>
        <v>Brno Pisárky</v>
      </c>
      <c r="D6" s="72"/>
      <c r="E6" s="80" t="s">
        <v>998</v>
      </c>
      <c r="F6" s="80"/>
      <c r="G6" s="72"/>
      <c r="H6" s="80" t="s">
        <v>1136</v>
      </c>
      <c r="I6" s="117"/>
      <c r="J6" s="32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32"/>
    </row>
    <row r="8" spans="1:10" ht="12.75">
      <c r="A8" s="79" t="s">
        <v>979</v>
      </c>
      <c r="B8" s="72"/>
      <c r="C8" s="80" t="str">
        <f>'Stavební rozpočet'!F4</f>
        <v> </v>
      </c>
      <c r="D8" s="72"/>
      <c r="E8" s="80" t="s">
        <v>980</v>
      </c>
      <c r="F8" s="80"/>
      <c r="G8" s="72"/>
      <c r="H8" s="81" t="s">
        <v>1137</v>
      </c>
      <c r="I8" s="117" t="s">
        <v>320</v>
      </c>
      <c r="J8" s="32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32"/>
    </row>
    <row r="10" spans="1:10" ht="12.75">
      <c r="A10" s="79" t="s">
        <v>3</v>
      </c>
      <c r="B10" s="72"/>
      <c r="C10" s="80">
        <f>'Stavební rozpočet'!C8</f>
        <v>8013212</v>
      </c>
      <c r="D10" s="72"/>
      <c r="E10" s="80" t="s">
        <v>999</v>
      </c>
      <c r="F10" s="80"/>
      <c r="G10" s="72"/>
      <c r="H10" s="81" t="s">
        <v>1138</v>
      </c>
      <c r="I10" s="120"/>
      <c r="J10" s="32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1"/>
      <c r="J11" s="32"/>
    </row>
    <row r="12" spans="1:9" ht="23.25" customHeight="1">
      <c r="A12" s="122" t="s">
        <v>1098</v>
      </c>
      <c r="B12" s="123"/>
      <c r="C12" s="123"/>
      <c r="D12" s="123"/>
      <c r="E12" s="123"/>
      <c r="F12" s="123"/>
      <c r="G12" s="123"/>
      <c r="H12" s="123"/>
      <c r="I12" s="123"/>
    </row>
    <row r="13" spans="1:10" ht="26.25" customHeight="1">
      <c r="A13" s="47" t="s">
        <v>1099</v>
      </c>
      <c r="B13" s="124" t="s">
        <v>1111</v>
      </c>
      <c r="C13" s="125"/>
      <c r="D13" s="47" t="s">
        <v>1113</v>
      </c>
      <c r="E13" s="124" t="s">
        <v>1122</v>
      </c>
      <c r="F13" s="125"/>
      <c r="G13" s="47" t="s">
        <v>1123</v>
      </c>
      <c r="H13" s="124" t="s">
        <v>1139</v>
      </c>
      <c r="I13" s="125"/>
      <c r="J13" s="32"/>
    </row>
    <row r="14" spans="1:10" ht="15" customHeight="1">
      <c r="A14" s="48" t="s">
        <v>1100</v>
      </c>
      <c r="B14" s="52" t="s">
        <v>1112</v>
      </c>
      <c r="C14" s="56">
        <f>SUM('Stavební rozpočet'!AB12:AB783)</f>
        <v>0</v>
      </c>
      <c r="D14" s="126" t="s">
        <v>1114</v>
      </c>
      <c r="E14" s="127"/>
      <c r="F14" s="56">
        <v>0</v>
      </c>
      <c r="G14" s="126" t="s">
        <v>959</v>
      </c>
      <c r="H14" s="127"/>
      <c r="I14" s="56">
        <v>0</v>
      </c>
      <c r="J14" s="32"/>
    </row>
    <row r="15" spans="1:10" ht="15" customHeight="1">
      <c r="A15" s="49"/>
      <c r="B15" s="52" t="s">
        <v>1007</v>
      </c>
      <c r="C15" s="56">
        <f>SUM('Stavební rozpočet'!AC12:AC783)</f>
        <v>0</v>
      </c>
      <c r="D15" s="126" t="s">
        <v>1115</v>
      </c>
      <c r="E15" s="127"/>
      <c r="F15" s="56">
        <v>0</v>
      </c>
      <c r="G15" s="126" t="s">
        <v>1124</v>
      </c>
      <c r="H15" s="127"/>
      <c r="I15" s="56">
        <v>0</v>
      </c>
      <c r="J15" s="32"/>
    </row>
    <row r="16" spans="1:10" ht="15" customHeight="1">
      <c r="A16" s="48" t="s">
        <v>1101</v>
      </c>
      <c r="B16" s="52" t="s">
        <v>1112</v>
      </c>
      <c r="C16" s="56">
        <f>SUM('Stavební rozpočet'!AD12:AD783)</f>
        <v>0</v>
      </c>
      <c r="D16" s="126" t="s">
        <v>1116</v>
      </c>
      <c r="E16" s="127"/>
      <c r="F16" s="56">
        <v>0</v>
      </c>
      <c r="G16" s="126" t="s">
        <v>1125</v>
      </c>
      <c r="H16" s="127"/>
      <c r="I16" s="56">
        <v>0</v>
      </c>
      <c r="J16" s="32"/>
    </row>
    <row r="17" spans="1:10" ht="15" customHeight="1">
      <c r="A17" s="49"/>
      <c r="B17" s="52" t="s">
        <v>1007</v>
      </c>
      <c r="C17" s="56">
        <f>SUM('Stavební rozpočet'!AE12:AE783)</f>
        <v>0</v>
      </c>
      <c r="D17" s="126"/>
      <c r="E17" s="127"/>
      <c r="F17" s="57"/>
      <c r="G17" s="126" t="s">
        <v>1126</v>
      </c>
      <c r="H17" s="127"/>
      <c r="I17" s="56">
        <v>0</v>
      </c>
      <c r="J17" s="32"/>
    </row>
    <row r="18" spans="1:10" ht="15" customHeight="1">
      <c r="A18" s="48" t="s">
        <v>1102</v>
      </c>
      <c r="B18" s="52" t="s">
        <v>1112</v>
      </c>
      <c r="C18" s="56">
        <f>SUM('Stavební rozpočet'!AF12:AF783)</f>
        <v>0</v>
      </c>
      <c r="D18" s="126"/>
      <c r="E18" s="127"/>
      <c r="F18" s="57"/>
      <c r="G18" s="126" t="s">
        <v>1127</v>
      </c>
      <c r="H18" s="127"/>
      <c r="I18" s="56">
        <v>0</v>
      </c>
      <c r="J18" s="32"/>
    </row>
    <row r="19" spans="1:10" ht="15" customHeight="1">
      <c r="A19" s="49"/>
      <c r="B19" s="52" t="s">
        <v>1007</v>
      </c>
      <c r="C19" s="56">
        <f>SUM('Stavební rozpočet'!AG12:AG783)</f>
        <v>0</v>
      </c>
      <c r="D19" s="126"/>
      <c r="E19" s="127"/>
      <c r="F19" s="57"/>
      <c r="G19" s="126" t="s">
        <v>1128</v>
      </c>
      <c r="H19" s="127"/>
      <c r="I19" s="56">
        <v>0</v>
      </c>
      <c r="J19" s="32"/>
    </row>
    <row r="20" spans="1:10" ht="15" customHeight="1">
      <c r="A20" s="128" t="s">
        <v>1103</v>
      </c>
      <c r="B20" s="129"/>
      <c r="C20" s="56">
        <f>SUM('Stavební rozpočet'!AH12:AH783)</f>
        <v>0</v>
      </c>
      <c r="D20" s="126"/>
      <c r="E20" s="127"/>
      <c r="F20" s="57"/>
      <c r="G20" s="126"/>
      <c r="H20" s="127"/>
      <c r="I20" s="57"/>
      <c r="J20" s="32"/>
    </row>
    <row r="21" spans="1:10" ht="15" customHeight="1">
      <c r="A21" s="128" t="s">
        <v>1104</v>
      </c>
      <c r="B21" s="129"/>
      <c r="C21" s="56">
        <f>SUM('Stavební rozpočet'!Z12:Z783)</f>
        <v>0</v>
      </c>
      <c r="D21" s="126"/>
      <c r="E21" s="127"/>
      <c r="F21" s="57"/>
      <c r="G21" s="126"/>
      <c r="H21" s="127"/>
      <c r="I21" s="57"/>
      <c r="J21" s="32"/>
    </row>
    <row r="22" spans="1:10" ht="16.5" customHeight="1">
      <c r="A22" s="128" t="s">
        <v>1105</v>
      </c>
      <c r="B22" s="129"/>
      <c r="C22" s="56">
        <f>SUM(C14:C21)</f>
        <v>0</v>
      </c>
      <c r="D22" s="128" t="s">
        <v>1117</v>
      </c>
      <c r="E22" s="129"/>
      <c r="F22" s="56">
        <f>SUM(F14:F21)</f>
        <v>0</v>
      </c>
      <c r="G22" s="128" t="s">
        <v>1129</v>
      </c>
      <c r="H22" s="129"/>
      <c r="I22" s="56">
        <f>SUM(I14:I21)</f>
        <v>0</v>
      </c>
      <c r="J22" s="32"/>
    </row>
    <row r="23" spans="1:10" ht="15" customHeight="1">
      <c r="A23" s="9"/>
      <c r="B23" s="9"/>
      <c r="C23" s="54"/>
      <c r="D23" s="128" t="s">
        <v>1118</v>
      </c>
      <c r="E23" s="129"/>
      <c r="F23" s="58">
        <v>0</v>
      </c>
      <c r="G23" s="128" t="s">
        <v>1130</v>
      </c>
      <c r="H23" s="129"/>
      <c r="I23" s="56">
        <v>0</v>
      </c>
      <c r="J23" s="32"/>
    </row>
    <row r="24" spans="4:9" ht="15" customHeight="1">
      <c r="D24" s="9"/>
      <c r="E24" s="9"/>
      <c r="F24" s="59"/>
      <c r="G24" s="128" t="s">
        <v>1131</v>
      </c>
      <c r="H24" s="129"/>
      <c r="I24" s="61"/>
    </row>
    <row r="25" spans="6:10" ht="15" customHeight="1">
      <c r="F25" s="60"/>
      <c r="G25" s="128" t="s">
        <v>1132</v>
      </c>
      <c r="H25" s="129"/>
      <c r="I25" s="56">
        <v>0</v>
      </c>
      <c r="J25" s="32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30" t="s">
        <v>1106</v>
      </c>
      <c r="B27" s="131"/>
      <c r="C27" s="62">
        <f>SUM('Stavební rozpočet'!AJ12:AJ783)</f>
        <v>0</v>
      </c>
      <c r="D27" s="55"/>
      <c r="E27" s="8"/>
      <c r="F27" s="8"/>
      <c r="G27" s="8"/>
      <c r="H27" s="8"/>
      <c r="I27" s="8"/>
    </row>
    <row r="28" spans="1:10" ht="15" customHeight="1">
      <c r="A28" s="130" t="s">
        <v>1107</v>
      </c>
      <c r="B28" s="131"/>
      <c r="C28" s="62">
        <f>SUM('Stavební rozpočet'!AK12:AK783)</f>
        <v>0</v>
      </c>
      <c r="D28" s="130" t="s">
        <v>1119</v>
      </c>
      <c r="E28" s="131"/>
      <c r="F28" s="62">
        <f>ROUND(C28*(15/100),2)</f>
        <v>0</v>
      </c>
      <c r="G28" s="130" t="s">
        <v>1133</v>
      </c>
      <c r="H28" s="131"/>
      <c r="I28" s="62">
        <f>SUM(C27:C29)</f>
        <v>0</v>
      </c>
      <c r="J28" s="32"/>
    </row>
    <row r="29" spans="1:10" ht="15" customHeight="1">
      <c r="A29" s="130" t="s">
        <v>1108</v>
      </c>
      <c r="B29" s="131"/>
      <c r="C29" s="62">
        <f>SUM('Stavební rozpočet'!AL12:AL783)+(F22+I22+F23+I23+I24+I25)</f>
        <v>0</v>
      </c>
      <c r="D29" s="130" t="s">
        <v>1120</v>
      </c>
      <c r="E29" s="131"/>
      <c r="F29" s="62">
        <f>ROUND(C29*(21/100),2)</f>
        <v>0</v>
      </c>
      <c r="G29" s="130" t="s">
        <v>1134</v>
      </c>
      <c r="H29" s="131"/>
      <c r="I29" s="62">
        <f>SUM(F28:F29)+I28</f>
        <v>0</v>
      </c>
      <c r="J29" s="32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32" t="s">
        <v>1109</v>
      </c>
      <c r="B31" s="133"/>
      <c r="C31" s="134"/>
      <c r="D31" s="132" t="s">
        <v>1121</v>
      </c>
      <c r="E31" s="133"/>
      <c r="F31" s="134"/>
      <c r="G31" s="132" t="s">
        <v>1135</v>
      </c>
      <c r="H31" s="133"/>
      <c r="I31" s="134"/>
      <c r="J31" s="33"/>
    </row>
    <row r="32" spans="1:10" ht="14.25" customHeight="1">
      <c r="A32" s="135"/>
      <c r="B32" s="136"/>
      <c r="C32" s="137"/>
      <c r="D32" s="135"/>
      <c r="E32" s="136"/>
      <c r="F32" s="137"/>
      <c r="G32" s="135"/>
      <c r="H32" s="136"/>
      <c r="I32" s="137"/>
      <c r="J32" s="33"/>
    </row>
    <row r="33" spans="1:10" ht="14.25" customHeight="1">
      <c r="A33" s="135"/>
      <c r="B33" s="136"/>
      <c r="C33" s="137"/>
      <c r="D33" s="135"/>
      <c r="E33" s="136"/>
      <c r="F33" s="137"/>
      <c r="G33" s="135"/>
      <c r="H33" s="136"/>
      <c r="I33" s="137"/>
      <c r="J33" s="33"/>
    </row>
    <row r="34" spans="1:10" ht="14.25" customHeight="1">
      <c r="A34" s="135"/>
      <c r="B34" s="136"/>
      <c r="C34" s="137"/>
      <c r="D34" s="135"/>
      <c r="E34" s="136"/>
      <c r="F34" s="137"/>
      <c r="G34" s="135"/>
      <c r="H34" s="136"/>
      <c r="I34" s="137"/>
      <c r="J34" s="33"/>
    </row>
    <row r="35" spans="1:10" ht="14.25" customHeight="1">
      <c r="A35" s="138" t="s">
        <v>1110</v>
      </c>
      <c r="B35" s="139"/>
      <c r="C35" s="140"/>
      <c r="D35" s="138" t="s">
        <v>1110</v>
      </c>
      <c r="E35" s="139"/>
      <c r="F35" s="140"/>
      <c r="G35" s="138" t="s">
        <v>1110</v>
      </c>
      <c r="H35" s="139"/>
      <c r="I35" s="140"/>
      <c r="J35" s="33"/>
    </row>
    <row r="36" spans="1:9" ht="11.25" customHeight="1">
      <c r="A36" s="51" t="s">
        <v>321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80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LapTop_01</dc:creator>
  <cp:keywords/>
  <dc:description/>
  <cp:lastModifiedBy>LapTop_01</cp:lastModifiedBy>
  <cp:lastPrinted>2019-02-27T08:15:53Z</cp:lastPrinted>
  <dcterms:modified xsi:type="dcterms:W3CDTF">2019-02-27T08:15:57Z</dcterms:modified>
  <cp:category/>
  <cp:version/>
  <cp:contentType/>
  <cp:contentStatus/>
</cp:coreProperties>
</file>