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<sst xmlns="http://schemas.openxmlformats.org/spreadsheetml/2006/main" count="1928" uniqueCount="691">
  <si>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</si>
  <si>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</si>
  <si>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</si>
  <si>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</si>
  <si>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</si>
  <si>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</si>
  <si>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</si>
  <si>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</si>
  <si>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</si>
  <si>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</si>
  <si>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</si>
  <si>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</si>
  <si>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</si>
  <si>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</si>
  <si>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</si>
  <si>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</si>
  <si>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</si>
  <si>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</si>
  <si>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</si>
  <si>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</si>
  <si>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</si>
  <si>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</si>
  <si>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</si>
  <si>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</si>
  <si>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</si>
  <si>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</si>
  <si>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</si>
  <si>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</si>
  <si>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</si>
  <si>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</si>
  <si>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</si>
  <si>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</si>
  <si>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</si>
  <si>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</si>
  <si>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</si>
  <si>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</si>
  <si>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</si>
  <si>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</si>
  <si>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</si>
  <si>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</si>
  <si>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</si>
  <si>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</si>
  <si>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</si>
  <si>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</si>
  <si>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</si>
  <si>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</si>
  <si>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</si>
  <si>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</si>
  <si>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</si>
  <si>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</si>
  <si>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</si>
  <si>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</si>
  <si>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</si>
  <si>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</si>
  <si>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</si>
  <si>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</si>
  <si>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</si>
  <si>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</si>
  <si>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</si>
  <si>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</si>
  <si>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</si>
  <si>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</si>
  <si>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</si>
  <si>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</si>
  <si>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</si>
  <si>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</si>
  <si>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</si>
  <si>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</si>
  <si>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</si>
  <si>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</si>
  <si>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</si>
  <si>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</si>
  <si>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</si>
  <si>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</si>
  <si>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</si>
  <si>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</si>
  <si>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</si>
  <si>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</si>
  <si>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</si>
  <si>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</si>
  <si>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</si>
  <si>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</si>
  <si>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</si>
  <si>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</si>
  <si>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</si>
  <si>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</si>
  <si>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</si>
  <si>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</si>
  <si>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</si>
  <si>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</si>
  <si>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</si>
  <si>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</si>
  <si>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</si>
  <si>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</si>
  <si>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</si>
  <si>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</si>
  <si>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</si>
  <si>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</si>
  <si>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</si>
  <si>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</si>
  <si>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</si>
  <si>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</si>
  <si>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</si>
  <si>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</si>
  <si>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</si>
  <si>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</si>
  <si>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</si>
  <si>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</si>
  <si>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</si>
  <si>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</si>
  <si>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</si>
  <si>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</si>
  <si>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</si>
  <si>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</si>
  <si>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</si>
  <si>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</si>
  <si>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</si>
  <si>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</si>
  <si>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</si>
  <si>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</si>
  <si>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</si>
  <si>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</si>
  <si>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</si>
  <si>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</si>
  <si>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</si>
  <si>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</si>
  <si>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</si>
  <si>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</si>
  <si>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</si>
  <si>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</si>
  <si>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</si>
  <si>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Poznámka:</t>
  </si>
  <si>
    <t>Objekt</t>
  </si>
  <si>
    <t>SO01</t>
  </si>
  <si>
    <t>SO02</t>
  </si>
  <si>
    <t>SO03</t>
  </si>
  <si>
    <t>SO05</t>
  </si>
  <si>
    <t>SO06</t>
  </si>
  <si>
    <t>Kód</t>
  </si>
  <si>
    <t>113106004RAB</t>
  </si>
  <si>
    <t>112100010RA0</t>
  </si>
  <si>
    <t>112103132R00</t>
  </si>
  <si>
    <t>112100102RA0</t>
  </si>
  <si>
    <t>112100101RA0</t>
  </si>
  <si>
    <t>111251111R00</t>
  </si>
  <si>
    <t>311310022RAA</t>
  </si>
  <si>
    <t>767</t>
  </si>
  <si>
    <t>767996805R00</t>
  </si>
  <si>
    <t>962100011RA0</t>
  </si>
  <si>
    <t>962100031RA0</t>
  </si>
  <si>
    <t>960321271R00</t>
  </si>
  <si>
    <t>965042221R00</t>
  </si>
  <si>
    <t>979081111R00</t>
  </si>
  <si>
    <t>979990001R00</t>
  </si>
  <si>
    <t>979081121R00</t>
  </si>
  <si>
    <t>122100010RA0</t>
  </si>
  <si>
    <t>181101102R00</t>
  </si>
  <si>
    <t>451571224R00</t>
  </si>
  <si>
    <t>596215021R00</t>
  </si>
  <si>
    <t>596291111R00</t>
  </si>
  <si>
    <t>916561111RT7</t>
  </si>
  <si>
    <t>916661111RT5</t>
  </si>
  <si>
    <t>998223011R00</t>
  </si>
  <si>
    <t>111301111R00</t>
  </si>
  <si>
    <t>183101115R00</t>
  </si>
  <si>
    <t>183101114R00</t>
  </si>
  <si>
    <t>183101113R00</t>
  </si>
  <si>
    <t>183101111R00</t>
  </si>
  <si>
    <t>183204113R00</t>
  </si>
  <si>
    <t>026215420</t>
  </si>
  <si>
    <t>184102115R00</t>
  </si>
  <si>
    <t>02656050</t>
  </si>
  <si>
    <t>02656033</t>
  </si>
  <si>
    <t>184102112R00</t>
  </si>
  <si>
    <t>02652357</t>
  </si>
  <si>
    <t>RTS komentář:</t>
  </si>
  <si>
    <t>02652025</t>
  </si>
  <si>
    <t>0263552</t>
  </si>
  <si>
    <t>02651371</t>
  </si>
  <si>
    <t>026121111</t>
  </si>
  <si>
    <t>0263553</t>
  </si>
  <si>
    <t>026111112</t>
  </si>
  <si>
    <t>0263233</t>
  </si>
  <si>
    <t>02654447</t>
  </si>
  <si>
    <t>026211112</t>
  </si>
  <si>
    <t>180406111R00</t>
  </si>
  <si>
    <t>005125521</t>
  </si>
  <si>
    <t>184806114R00</t>
  </si>
  <si>
    <t>184806152R00</t>
  </si>
  <si>
    <t>185802113R00</t>
  </si>
  <si>
    <t>10391505.A</t>
  </si>
  <si>
    <t>184802111R00</t>
  </si>
  <si>
    <t>183403132R00</t>
  </si>
  <si>
    <t>183403153R00</t>
  </si>
  <si>
    <t>185804312R00</t>
  </si>
  <si>
    <t>184921093R00</t>
  </si>
  <si>
    <t>180401211R00</t>
  </si>
  <si>
    <t>00522550</t>
  </si>
  <si>
    <t>184806111R00</t>
  </si>
  <si>
    <t>184202112R00</t>
  </si>
  <si>
    <t>608500151</t>
  </si>
  <si>
    <t>608500300</t>
  </si>
  <si>
    <t>70836140.A</t>
  </si>
  <si>
    <t>181301102R00</t>
  </si>
  <si>
    <t>10371500</t>
  </si>
  <si>
    <t>185852213</t>
  </si>
  <si>
    <t>182001111R00</t>
  </si>
  <si>
    <t>10391100</t>
  </si>
  <si>
    <t>998231311R00</t>
  </si>
  <si>
    <t>174101101R00</t>
  </si>
  <si>
    <t>583417003</t>
  </si>
  <si>
    <t>273321116R00</t>
  </si>
  <si>
    <t>58953504</t>
  </si>
  <si>
    <t>919716111R00</t>
  </si>
  <si>
    <t>338950235R00</t>
  </si>
  <si>
    <t>60554139</t>
  </si>
  <si>
    <t>60554132</t>
  </si>
  <si>
    <t>632902111R00</t>
  </si>
  <si>
    <t>722</t>
  </si>
  <si>
    <t>722190222R00</t>
  </si>
  <si>
    <t>722190901R00</t>
  </si>
  <si>
    <t>722280106R00</t>
  </si>
  <si>
    <t>734</t>
  </si>
  <si>
    <t>734119118R00</t>
  </si>
  <si>
    <t>5511001780</t>
  </si>
  <si>
    <t>5511001772</t>
  </si>
  <si>
    <t>500</t>
  </si>
  <si>
    <t>50011001774</t>
  </si>
  <si>
    <t>762</t>
  </si>
  <si>
    <t>762137121R00</t>
  </si>
  <si>
    <t>6082225</t>
  </si>
  <si>
    <t>762722110R00</t>
  </si>
  <si>
    <t>605158651</t>
  </si>
  <si>
    <t>605158641</t>
  </si>
  <si>
    <t>60515750</t>
  </si>
  <si>
    <t>762795000R00</t>
  </si>
  <si>
    <t>764</t>
  </si>
  <si>
    <t>764908104RT1</t>
  </si>
  <si>
    <t>764905301R00</t>
  </si>
  <si>
    <t>764908101RT1</t>
  </si>
  <si>
    <t>764908110RT1</t>
  </si>
  <si>
    <t>766</t>
  </si>
  <si>
    <t>766410010RAB</t>
  </si>
  <si>
    <t>766420010RAB</t>
  </si>
  <si>
    <t>766441111R00</t>
  </si>
  <si>
    <t>611981895</t>
  </si>
  <si>
    <t>611981859</t>
  </si>
  <si>
    <t>766694124R00</t>
  </si>
  <si>
    <t>50028567</t>
  </si>
  <si>
    <t>767990010RAB0</t>
  </si>
  <si>
    <t>771</t>
  </si>
  <si>
    <t>771212117R00</t>
  </si>
  <si>
    <t>585820166</t>
  </si>
  <si>
    <t>58583201.A</t>
  </si>
  <si>
    <t>59764207</t>
  </si>
  <si>
    <t>771249112R00</t>
  </si>
  <si>
    <t>783</t>
  </si>
  <si>
    <t>783293103R00</t>
  </si>
  <si>
    <t>783726300R00</t>
  </si>
  <si>
    <t>783620010RAA</t>
  </si>
  <si>
    <t>783612100R00</t>
  </si>
  <si>
    <t>831230010RAA</t>
  </si>
  <si>
    <t>460600001RT8</t>
  </si>
  <si>
    <t>199000002R00</t>
  </si>
  <si>
    <t>589151004RT30</t>
  </si>
  <si>
    <t>916561111RT2</t>
  </si>
  <si>
    <t>Zkrácený popis / Varianta</t>
  </si>
  <si>
    <t>Rozměry</t>
  </si>
  <si>
    <t>Úprava území</t>
  </si>
  <si>
    <t>Přípravné a přidružené práce</t>
  </si>
  <si>
    <t>Odstranění beton.dlažby vč.podkladu, pl.nad 50 m2</t>
  </si>
  <si>
    <t>včetně nakládání a odvozu na skládku do 1 km</t>
  </si>
  <si>
    <t>rozebrání stávajících dlažeb pod bouranou pergolou</t>
  </si>
  <si>
    <t>Kácení stromů 20-30 cm, naložení a odvoz do 1 km</t>
  </si>
  <si>
    <t>zeravy, zavětvené</t>
  </si>
  <si>
    <t>Kácení ve ztíž.podmínkách prům. do 30 cm, svah 1:2</t>
  </si>
  <si>
    <t>smrky, v blízkosti budovy</t>
  </si>
  <si>
    <t>Odstranění pařezů 30-40 cm,odklizení,úprava terénu</t>
  </si>
  <si>
    <t>po smrcích + jeden stávající</t>
  </si>
  <si>
    <t>Odstranění pařezů 20-30 cm,odklizení,úprava terénu</t>
  </si>
  <si>
    <t>po zeravech</t>
  </si>
  <si>
    <t>Drcení ořezaných větví průměru do 10 cm</t>
  </si>
  <si>
    <t>Zdi podpěrné a volné</t>
  </si>
  <si>
    <t>Zdi nadzákladové z betonu C 12/15 tl. 45 cm</t>
  </si>
  <si>
    <t>oboustranné bednění a odbednění</t>
  </si>
  <si>
    <t>úprava ubourané zídky do úrovně asfaltu</t>
  </si>
  <si>
    <t>Konstrukce doplňkové stavební (zámečnické)</t>
  </si>
  <si>
    <t>Demontáž atypických ocelových konstr. nad 500 kg</t>
  </si>
  <si>
    <t>(2,5+4)*2*2*8   stěny vlnitý plech</t>
  </si>
  <si>
    <t>2,5*4*8   střecha vlnitý plech</t>
  </si>
  <si>
    <t>32*2,5   konstrukce z trubek - ochrazovna</t>
  </si>
  <si>
    <t>30*2,6*6,5   ocelová část pergoly</t>
  </si>
  <si>
    <t>30   zábradlí bazénku</t>
  </si>
  <si>
    <t>12,6*9,2   plechová střecha sauny</t>
  </si>
  <si>
    <t>Bourání konstrukcí</t>
  </si>
  <si>
    <t>Bourání nadzákladového zdiva z kamene</t>
  </si>
  <si>
    <t>(23+27)*0,4*0,7   nadzemní část pergoly - kamenné zídky</t>
  </si>
  <si>
    <t>Bourání pilířů z kamene</t>
  </si>
  <si>
    <t>10*0,4*0,4*2,1   pilíře pergoly</t>
  </si>
  <si>
    <t>Bourání konstrukcí ze železobetonu</t>
  </si>
  <si>
    <t>2,4   horní část pergoly</t>
  </si>
  <si>
    <t>Bourání mazanin betonových tl. nad 10 cm, pl. 1 m2</t>
  </si>
  <si>
    <t>0,9   betonový chodníček</t>
  </si>
  <si>
    <t>Odvoz suti a vybour. hmot na skládku do 1 km</t>
  </si>
  <si>
    <t>včetně naložení a složení</t>
  </si>
  <si>
    <t>Poplatek za skládku stavební suti</t>
  </si>
  <si>
    <t>Příplatek k odvozu za každý další 1 km - odvoz do 5 km</t>
  </si>
  <si>
    <t>123,45*4</t>
  </si>
  <si>
    <t>Zpevněné plochy</t>
  </si>
  <si>
    <t>Odkopávky a prokopávky</t>
  </si>
  <si>
    <t>Odkopávky nezapažené v hornině 1-4</t>
  </si>
  <si>
    <t>16*0,3   dlažbachodnik</t>
  </si>
  <si>
    <t>10*0,3   dlažba pod lavičky</t>
  </si>
  <si>
    <t>26*0,3   terasa vrak</t>
  </si>
  <si>
    <t>Povrchové úpravy terénu</t>
  </si>
  <si>
    <t>Úprava pláně v zářezech v hor. 1-4, se zhutněním</t>
  </si>
  <si>
    <t>16   dlažbachodnik</t>
  </si>
  <si>
    <t>10   dlažba pod lavičky</t>
  </si>
  <si>
    <t>26   terasa vrak</t>
  </si>
  <si>
    <t>Podkladní a vedlejší konstrukce (kromě vozovek a železničního svršku)</t>
  </si>
  <si>
    <t>Podklad pod dlažbu ze štěrkopísku tl. do 25 cm</t>
  </si>
  <si>
    <t>Kryty pozemních komunikací, letišť a ploch dlážděných (předlažby)</t>
  </si>
  <si>
    <t>Kladení zámkové dlažby tl. 6 cm do drtě tl. 4 cm</t>
  </si>
  <si>
    <t>Řezání zámkové dlažby tl. 60 mm</t>
  </si>
  <si>
    <t>Doplňující konstrukce a práce na pozemních komunikacích a zpevněných plochách</t>
  </si>
  <si>
    <t>Osazení záhon.obrubníků do lože z C 12/15 s opěrou</t>
  </si>
  <si>
    <t>včetně obrubníku   100/5/20 cm</t>
  </si>
  <si>
    <t>10   obrubník pod lavičky</t>
  </si>
  <si>
    <t>Osazení park. obrubníků do lože z C 12/15 s opěrou</t>
  </si>
  <si>
    <t>včetně obrubníku 80x250x1000 mm</t>
  </si>
  <si>
    <t>34   obrubnikchodnik</t>
  </si>
  <si>
    <t>Přesun hmot, pozemní komunikace, kryt dlážděný</t>
  </si>
  <si>
    <t>Sadovnické úpravy</t>
  </si>
  <si>
    <t>Sejmutí drnu tl. do 10 cm, s přemístěním do 50 m</t>
  </si>
  <si>
    <t>33   sejmuti drnu</t>
  </si>
  <si>
    <t>Hloub. jamek bez výměny půdy do 0,4 m3, svah 1:5</t>
  </si>
  <si>
    <t>Hloub. jamek bez výměny půdy do 0,125 m3, sv.1:5</t>
  </si>
  <si>
    <t>Hloub. jamek bez výměny půdy do 0,05 m3, svah 1:5</t>
  </si>
  <si>
    <t>Hloub. jamek bez výměny půdy do 0,01 m3, svah 1:5</t>
  </si>
  <si>
    <t>Výsadba cibulí nebo hlíz</t>
  </si>
  <si>
    <t>Narcisy - cibule</t>
  </si>
  <si>
    <t>Výsadba dřevin s balem D do 60 cm, v rovině</t>
  </si>
  <si>
    <t>Javor mléč (Acer platanoides ´Krimson King´), alejový strom, výška nasazení min.2,2 m, OK 12-14, kontejner, popř.airpot</t>
  </si>
  <si>
    <t>Prunus avium ´Plena´, OK 12-14, kontejner, popř. airpot</t>
  </si>
  <si>
    <t>Salix matsudana ´Tortuosa´, soliter 250-300 cm, kontejner, popř. airpot</t>
  </si>
  <si>
    <t>Výsadba dřevin s balem D do 30 cm, v rovině</t>
  </si>
  <si>
    <t>všechny rostliny v kontejnerech min. 2 l</t>
  </si>
  <si>
    <t>Hortenzie - Hydrangea arborescens ´Strong Annabell´ 30-40cm</t>
  </si>
  <si>
    <t>kontejner 3 l  95018700</t>
  </si>
  <si>
    <t>Zlatice - Forsythia intermedia Lynwood v. 20-40 cm</t>
  </si>
  <si>
    <t>kontejner 1,5 l  9506150</t>
  </si>
  <si>
    <t>Philadelphus ´Virginal´ 40-60</t>
  </si>
  <si>
    <t>Svída - Cornus alba ´Ellegantissima´  v. 40-60 cm</t>
  </si>
  <si>
    <t>kontejner 1,5 l  9505870</t>
  </si>
  <si>
    <t>Tavolník - Spiraea ´Anthony Waterer´ - 30-40, KO 2l</t>
  </si>
  <si>
    <t>Syringa patlula ´Miss Kim´40-60</t>
  </si>
  <si>
    <t>Spiraea cinerea ´Grefsheim 30-40</t>
  </si>
  <si>
    <t>Physocarpus opulifolius ´Red Baron´ 40-60</t>
  </si>
  <si>
    <t>Chaenomeles japonica ´Cido Red´ 40-60</t>
  </si>
  <si>
    <t>Pennisetum alopecuroides 'Hameln', ko 1l</t>
  </si>
  <si>
    <t>Založení trávníku parkového drnováním v rovině</t>
  </si>
  <si>
    <t>Travní koberec rolovaný, travní směs rekreační</t>
  </si>
  <si>
    <t>212</t>
  </si>
  <si>
    <t>;ztratné 1%; 2,12</t>
  </si>
  <si>
    <t>Řez průklestem netrnitých stromů D koruny do 8 m</t>
  </si>
  <si>
    <t>Řez průklestem netrnitých keřů D koruny do 3 m</t>
  </si>
  <si>
    <t>Hnojení umělým hnojivem v rovině</t>
  </si>
  <si>
    <t>Fyzikální půdní kondicionér po 20 kg</t>
  </si>
  <si>
    <t>zvyšuje vodní retenční kapacitu půdy a přístupnost hnojiv, zlepšuje půdní struktury, omezuje účinky přesazovacího šoku. Vhodný pro použití v degradovaných nebo problematických půdách. Půdní kondicionér se musí smíchat s růstovým médiem do kořenové zóny.</t>
  </si>
  <si>
    <t>Chem. odplevelení před založ. postřikem, v rovině</t>
  </si>
  <si>
    <t>2 opakování</t>
  </si>
  <si>
    <t>2*402</t>
  </si>
  <si>
    <t>Obdělání půdy rytím do 20 cm hor. 3, v rovině</t>
  </si>
  <si>
    <t>Obdělání půdy hrabáním, v rovině</t>
  </si>
  <si>
    <t>Zalití rostlin vodou plochy nad 20 m2</t>
  </si>
  <si>
    <t>voda bude napojena z budovy MŠ</t>
  </si>
  <si>
    <t>Mulčování rostlin tl. do 0,1 m rovina</t>
  </si>
  <si>
    <t>Založení trávníku lučního výsevem v rovině</t>
  </si>
  <si>
    <t>Osivo trávníku lučního květnatého s letničkami, složení viz PD, výsevek 5 g /m2</t>
  </si>
  <si>
    <t>Řez  stromů D koruny do 2 m - při výsadbě</t>
  </si>
  <si>
    <t>Ukotvení dřeviny kůly D do 10 cm, dl. do 3 m</t>
  </si>
  <si>
    <t>Kůl vyvazovací impregnovaný 250 x 5 cm</t>
  </si>
  <si>
    <t>frézovaný válec délka 250 cm průměr 5 cm 1 x fazeta 1 x špice vakuotlaková impregnace - zelená</t>
  </si>
  <si>
    <t>Příčka spojovací ke kůlům impregnovaná 50 x 5 cm</t>
  </si>
  <si>
    <t>spojovací příčka k vyvazovacím kůlům frézovaný půlválec délka 50 cm průměr 5 cm vakuotlaková impregnace - zelená</t>
  </si>
  <si>
    <t>Popruh jednovrstvý polypropylen šíře 40 mm</t>
  </si>
  <si>
    <t>3*1,8</t>
  </si>
  <si>
    <t>315703040740/01  tkací vazba: jednovrstvá, plátno materiál: polypropylen provedení jednobarevné, hnědá bez úpravy</t>
  </si>
  <si>
    <t>Rozprostření ornice, rovina, tl. 10-15 cm,do 500m2</t>
  </si>
  <si>
    <t>Substrát zahradnický B  VL</t>
  </si>
  <si>
    <t>115*0,1</t>
  </si>
  <si>
    <t>Řez stromů zdravotní, plocha koruny do 90m2</t>
  </si>
  <si>
    <t>Plošná úprava terénu, nerovnosti do 10 cm v rovině - kompletní příprava rostlého terénu (prokypření, srovnání) - luční a kobercový trávník</t>
  </si>
  <si>
    <t>75   záhon keře</t>
  </si>
  <si>
    <t>3   stromové mísy</t>
  </si>
  <si>
    <t>Kůra mulčovací VL</t>
  </si>
  <si>
    <t>78*0,08</t>
  </si>
  <si>
    <t>Přesun hmot pro sadovnické a krajin. úpravy do 5km</t>
  </si>
  <si>
    <t>Drobné stavby</t>
  </si>
  <si>
    <t>Konstrukce ze zemin</t>
  </si>
  <si>
    <t>Zásyp jam, rýh, šachet se zhutněním</t>
  </si>
  <si>
    <t>zásyp ochl. bazénku</t>
  </si>
  <si>
    <t>2,5*1,2*0,9   ochlazovací bazének</t>
  </si>
  <si>
    <t>Kamenivo drcené frakce  0/32 A Jihomor.kraj</t>
  </si>
  <si>
    <t>Základy</t>
  </si>
  <si>
    <t>Železobeton zákl. desek z cem.portladských C 16/20</t>
  </si>
  <si>
    <t>2,5*1,2*0,1   ochl. bazének</t>
  </si>
  <si>
    <t>KARI síť AQ 42 (6x2,40), střih + ohyb</t>
  </si>
  <si>
    <t>3*7,5/1000</t>
  </si>
  <si>
    <t>průměr drátu: 4,0/4,0 rozteč drátu: 100/100</t>
  </si>
  <si>
    <t>Výztuž cementobet. krytu sítí KARI 7,5 kg/m</t>
  </si>
  <si>
    <t>Sloupy a pilíře, stožáry a rámové stojky</t>
  </si>
  <si>
    <t>Osazení jednot. kůlů do betonu H do 3 m, svah 1:2</t>
  </si>
  <si>
    <t>Bez vykopávky.</t>
  </si>
  <si>
    <t>Kůl  odkorněný obroušený akát d=15-20 x 300 cm, zbavený běli, ošetřený olejovým nátěrem</t>
  </si>
  <si>
    <t>Akátové kůly na ohrady, odkorněné</t>
  </si>
  <si>
    <t>Kůl odkorněný obroušený akát d=15-20 x 160 cm, zbavený běli, ošetřený olejovým nátěrem</t>
  </si>
  <si>
    <t>Podlahy a podlahové konstrukce</t>
  </si>
  <si>
    <t>Příprava zatvrdlého povrchu cementovým mlékem</t>
  </si>
  <si>
    <t xml:space="preserve">   plocha po bazénku</t>
  </si>
  <si>
    <t>Vnitřní vodovod</t>
  </si>
  <si>
    <t>Přípojky vodovodní pro pevné připojení DN 20</t>
  </si>
  <si>
    <t>Uzavření/otevření vodovodního potrubí při opravě</t>
  </si>
  <si>
    <t>Tlaková zkouška vodovodního potrubí DN 32</t>
  </si>
  <si>
    <t>Armatury</t>
  </si>
  <si>
    <t>Montáž uzavíracích ventilů DN 100</t>
  </si>
  <si>
    <t>Uzávěr kulový IVAR.BALLSTOP 3230 1/2" motýl</t>
  </si>
  <si>
    <t>PN 16 při T = +90 °C kulový uzávěr včetně integrované zpětné klapky  materiál niklovaná mosaz OT 58  323040</t>
  </si>
  <si>
    <t>Uzávěr kulový zahradní FIV.08003 3/4"-1"</t>
  </si>
  <si>
    <t>materiál niklovaná mosaz OT 58 PN 15, 0 až 90 °C vnější závit provedení páčka  08003036</t>
  </si>
  <si>
    <t>Ocelový zahradní sloupek vodovodní, žárově zinkováno + komaxit v stříbrné barvě s připojením na hadici a závěsem, nadzemní výška 100 cm, včetně instal</t>
  </si>
  <si>
    <t>Kotvící patka pro zahradní sloupky vč. instalace, nerez</t>
  </si>
  <si>
    <t>Konstrukce tesařské</t>
  </si>
  <si>
    <t>Montáž oplocení z dílců, na sloupky</t>
  </si>
  <si>
    <t xml:space="preserve"> panely z akátových planěk</t>
  </si>
  <si>
    <t>Plotové dílce z akátových prisem, ošetřené olejovou barvou, výška do 1 m, vč. spojovacího materiálu</t>
  </si>
  <si>
    <t>Montáž vázaných konstr.polohraněných do 120 cm2</t>
  </si>
  <si>
    <t>(3*2,6)+(3*2,2)+(2*3,9)+(8*0,7)+(5*2,8)+(10*3)</t>
  </si>
  <si>
    <t>Hranol konstrukční masivní KVH Si 120x120 mm l=5 m</t>
  </si>
  <si>
    <t>3*2,6*0,12*0,12   stojky přední</t>
  </si>
  <si>
    <t>3*2,2*0,12*0,12   stojky zadní</t>
  </si>
  <si>
    <t>2*3,9*0,12*0,12   trámy</t>
  </si>
  <si>
    <t>Stavební masivní dřevo KVH  Vizuálně nebo strojově dle pevnosti tříděné, technicky sušené a kalibrované masivní dřevo s definovanou rozměrovou stálostí pro viditelné a neviditelné úseky.  Masivní konstrukční dřevo (KVH) jsou profily z jehličnatého dřeva (převážně smrku) pro použití v moderních dřevěných stavbách. KVH profily jsou čtyřstranně hoblované a mají sražené hrany. Délkovým nastavováním jednotlivých profilů pomocí zubovitého spoje lze dosahovat délek až 18 m. Profily jsou technicky vysušeny na vlhkost 15 ± 3 %. Podle účelu použití se rozlišují dva druhy KVH profilů, které se však od sebe odlišují pouze vlastnostmi povrchu:  * KVH-Si pro pohledové konstrukce  * KVH-NSi pro nepohledové konstrukce</t>
  </si>
  <si>
    <t>Hranol konstrukční masivní KVH Si 100x100 mm l=5 m</t>
  </si>
  <si>
    <t>8*0,7*0,1*0,1   zavětrování</t>
  </si>
  <si>
    <t>Hranol SM/BO profil do 100x100 mm dl. do 4 m</t>
  </si>
  <si>
    <t>5*2,8*0,1*0,1   krokve altán</t>
  </si>
  <si>
    <t>10*3*0,1*0,1   oprava krokve sklad</t>
  </si>
  <si>
    <t>Spojovací prostředky pro vázané konstrukce</t>
  </si>
  <si>
    <t>Konstrukce klempířské</t>
  </si>
  <si>
    <t xml:space="preserve"> žlab podokapní půlkruhový R,velikost 125 mm</t>
  </si>
  <si>
    <t>v barvě hnědé</t>
  </si>
  <si>
    <t>krytina z trapéz.plechů T18Dn, na dřevo - barva hnědá</t>
  </si>
  <si>
    <t>4*2,8   altán</t>
  </si>
  <si>
    <t>3*7   sklad</t>
  </si>
  <si>
    <t>Kotlík žlabový kónický SOK,vel.žlabu 125 mm</t>
  </si>
  <si>
    <t>Odpadní trouby kruhové SROR, D 120 mm</t>
  </si>
  <si>
    <t>Konstrukce truhlářské</t>
  </si>
  <si>
    <t>Obklad stěn palubkami pero - drážka</t>
  </si>
  <si>
    <t>palubky MD, lakování</t>
  </si>
  <si>
    <t>Obklad podhledu palubkami pero-drážka</t>
  </si>
  <si>
    <t>Položení podlahy teras z prken, na podkladní rošt</t>
  </si>
  <si>
    <t>Hranol pod terasy Modřín sibiřský 45x70 mm</t>
  </si>
  <si>
    <t>Hranoly pod terasy - Sibiřský modřín, rozměr 45 x70mm, délky 2,7 - 4 m, po 30 cm+</t>
  </si>
  <si>
    <t>Prkno terasové dřevěné Modřín Sibiřský 27x145 mm</t>
  </si>
  <si>
    <t>25   terasa</t>
  </si>
  <si>
    <t>;ztratné 10%; 2,5</t>
  </si>
  <si>
    <t>Terasová prkna Modřín sibiřský  - 27 x 145 mm - délky prken: 2,7 - 4 m, po 30 cm+  - pohledová strana - jemná nebo hrubá drážka - 650 kg/m3 - konečná vlhkost cca 18% - Jeho obsažená pryskyřice odpuzuje vodu jako přírodní impregnace a chrání dřevo před napadením houbami.  - bělové dřevo nažloutle bílé až načervenale bílé, jádrové dřevo načervenale až tmavě červeno hnědé, tmavne. Při silném slunečním ohřátí může vytékat pryskyřice</t>
  </si>
  <si>
    <t>Montáž parapetních desek š.nad 30 cm,dl.nad 260 cm</t>
  </si>
  <si>
    <t>Sedák s akátových prisem, šířka 45 cm, tl. 4 cm</t>
  </si>
  <si>
    <t>Atypické ocelové konstrukce</t>
  </si>
  <si>
    <t>5 - 10 kg/kus</t>
  </si>
  <si>
    <t>5*6</t>
  </si>
  <si>
    <t>Podlahy z dlaždic</t>
  </si>
  <si>
    <t>Kladení dlažby keramické do TM, vel. do 600x600 mm</t>
  </si>
  <si>
    <t>ARDEX G8S FLEX 1-6 spárovací hmota cementově šedá</t>
  </si>
  <si>
    <t>Pro interiér a exteriér. Flexibilní spárovací hmota na bázi cementu Pro spárování obkladů a dlažeb z keramiky, kameniny a slinutých obkladů a dlažeb, přírodního a umělého kamene necitlivého na vlhkost, mozaiky ze skla, porcelánu a keramiky.  Pro šířky spár 1-6mm Odolná vodě a nečistotám Rychle vytvrzující a pochůzná Jemný a hladký povrch spáry Dobrá přídržnost na hranách dlažby Vysoká pevnost  S preventivním účinkem proti plísním Vhodné pro podlahové a stěnové vytápění</t>
  </si>
  <si>
    <t>Keraflex lepicí cementový tmel</t>
  </si>
  <si>
    <t>Cementové lepidlo na obklady a dlažby z keramiky a přírodního kamene se sníženým vertikálním skluzem a prodlouženou dobou zavadnutí.  Spotřeba: 2 - 5 kg/m2</t>
  </si>
  <si>
    <t>Dlažba matná 600x600x9 mm protiskluzová</t>
  </si>
  <si>
    <t>;ztratné 10%; 1,2</t>
  </si>
  <si>
    <t>Slinuté neglazované obkladové prvky s velmi nízkou nasákavostí pod 0,5 %, určené k obkladům podlah v exteriérech a interiérech, které jsou vystaveny povětrnostním vlivům a vysokému až extremnímu mechanickému namáhání, obrusu a znečištění.</t>
  </si>
  <si>
    <t>Řezání dlaždic tl. 25 mm diamantovým kotoučem</t>
  </si>
  <si>
    <t>Nátěry</t>
  </si>
  <si>
    <t>Nátěr kovových konstr.disperz.Bakrylex z+2x email</t>
  </si>
  <si>
    <t>Nátěr synt. lazurovací tesařských konstr. 3x lak</t>
  </si>
  <si>
    <t>Nátěr truhlářských výrobků syntetický</t>
  </si>
  <si>
    <t>dvojnásobný krycí+1x tmelení+1x email</t>
  </si>
  <si>
    <t>Nátěr olejový truhlářských výrobků dvojnásobný</t>
  </si>
  <si>
    <t>Potrubí z trub kameninových</t>
  </si>
  <si>
    <t>Vodovod z trub polyetylénových D 90 mm</t>
  </si>
  <si>
    <t>hloubka 1,2 m</t>
  </si>
  <si>
    <t>Herní prvky a mobiliář</t>
  </si>
  <si>
    <t>Naložení a odvoz zeminy</t>
  </si>
  <si>
    <t>odvoz na vzdálenost 10000 m</t>
  </si>
  <si>
    <t>Poplatek za skládku horniny 1- 4</t>
  </si>
  <si>
    <t>Kryty pozemních komunikací, letišť a ploch z betonu a ostatních hmot</t>
  </si>
  <si>
    <t>Kryt sportovních ploch z lité pryže</t>
  </si>
  <si>
    <t>vč. dodávky materiálu, 3 odstíny modré barvy, 2 odstíny žluté barvy</t>
  </si>
  <si>
    <t>včetně obrubníku   50/5/20 cm</t>
  </si>
  <si>
    <t>Doba výstavby:</t>
  </si>
  <si>
    <t>Začátek výstavby:</t>
  </si>
  <si>
    <t>Konec výstavby:</t>
  </si>
  <si>
    <t>Zpracováno dne:</t>
  </si>
  <si>
    <t>M.j.</t>
  </si>
  <si>
    <t>m2</t>
  </si>
  <si>
    <t>kus</t>
  </si>
  <si>
    <t>m3</t>
  </si>
  <si>
    <t>kg</t>
  </si>
  <si>
    <t>t</t>
  </si>
  <si>
    <t>m</t>
  </si>
  <si>
    <t>ks</t>
  </si>
  <si>
    <t>soubor</t>
  </si>
  <si>
    <t>bm</t>
  </si>
  <si>
    <t>Množství</t>
  </si>
  <si>
    <t>18.03.2019</t>
  </si>
  <si>
    <t> </t>
  </si>
  <si>
    <t>Jednot.</t>
  </si>
  <si>
    <t>cena 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</si>
  <si>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</si>
  <si>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</si>
  <si>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</si>
  <si>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</si>
  <si>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</si>
  <si>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</si>
  <si>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</si>
  <si>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Montáž</t>
  </si>
  <si>
    <t>Celkem</t>
  </si>
  <si>
    <t>Hmotnost (t)</t>
  </si>
  <si>
    <t>Cenová</t>
  </si>
  <si>
    <t>soustava</t>
  </si>
  <si>
    <t>RTS II / 2018</t>
  </si>
  <si>
    <t>RTS II / 2016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</si>
  <si>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</si>
  <si>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</si>
  <si>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</si>
  <si>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</si>
  <si>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</si>
  <si>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</si>
  <si>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</si>
  <si>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</si>
  <si>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</si>
  <si>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</si>
  <si>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31_</t>
  </si>
  <si>
    <t>767_</t>
  </si>
  <si>
    <t>96_</t>
  </si>
  <si>
    <t>12_</t>
  </si>
  <si>
    <t>18_</t>
  </si>
  <si>
    <t>45_</t>
  </si>
  <si>
    <t>59_</t>
  </si>
  <si>
    <t>91_</t>
  </si>
  <si>
    <t>17_</t>
  </si>
  <si>
    <t>27_</t>
  </si>
  <si>
    <t>33_</t>
  </si>
  <si>
    <t>63_</t>
  </si>
  <si>
    <t>722_</t>
  </si>
  <si>
    <t>734_</t>
  </si>
  <si>
    <t>762_</t>
  </si>
  <si>
    <t>764_</t>
  </si>
  <si>
    <t>766_</t>
  </si>
  <si>
    <t>771_</t>
  </si>
  <si>
    <t>783_</t>
  </si>
  <si>
    <t>83_</t>
  </si>
  <si>
    <t>58_</t>
  </si>
  <si>
    <t>SO01_1_</t>
  </si>
  <si>
    <t>SO01_3_</t>
  </si>
  <si>
    <t>SO01_76_</t>
  </si>
  <si>
    <t>SO01_9_</t>
  </si>
  <si>
    <t>SO02_1_</t>
  </si>
  <si>
    <t>SO02_4_</t>
  </si>
  <si>
    <t>SO02_5_</t>
  </si>
  <si>
    <t>SO02_9_</t>
  </si>
  <si>
    <t>SO03_1_</t>
  </si>
  <si>
    <t>SO05_1_</t>
  </si>
  <si>
    <t>SO05_2_</t>
  </si>
  <si>
    <t>SO05_3_</t>
  </si>
  <si>
    <t>SO05_6_</t>
  </si>
  <si>
    <t>SO05_72_</t>
  </si>
  <si>
    <t>SO05_73_</t>
  </si>
  <si>
    <t>SO05_76_</t>
  </si>
  <si>
    <t>SO05_77_</t>
  </si>
  <si>
    <t>SO05_78_</t>
  </si>
  <si>
    <t>SO05_8_</t>
  </si>
  <si>
    <t>SO06_1_</t>
  </si>
  <si>
    <t>SO06_5_</t>
  </si>
  <si>
    <t>SO06_9_</t>
  </si>
  <si>
    <t>SO01_</t>
  </si>
  <si>
    <t>SO02_</t>
  </si>
  <si>
    <t>SO03_</t>
  </si>
  <si>
    <t>SO05_</t>
  </si>
  <si>
    <t>SO06_</t>
  </si>
  <si>
    <t>MAT</t>
  </si>
  <si>
    <t>WORK</t>
  </si>
  <si>
    <t>CELK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</si>
  <si>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</si>
  <si>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</si>
  <si>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</si>
  <si>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</si>
  <si>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</si>
  <si>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</si>
  <si>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</si>
  <si>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</si>
  <si>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</si>
  <si>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</si>
  <si>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</si>
  <si>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</si>
  <si>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</si>
  <si>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</si>
  <si>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</si>
  <si>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</si>
  <si>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</si>
  <si>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</si>
  <si>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</si>
  <si>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</si>
  <si>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</si>
  <si>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</si>
  <si>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</si>
  <si>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</si>
  <si>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</si>
  <si>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</si>
  <si>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</si>
  <si>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</si>
  <si>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</si>
  <si>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</si>
  <si>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</si>
  <si>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</si>
  <si>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</si>
  <si>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</si>
  <si>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</si>
  <si>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</si>
  <si>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</si>
  <si>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</si>
  <si>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</si>
  <si>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</si>
  <si>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</si>
  <si>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</si>
  <si>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</si>
  <si>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</si>
  <si>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139</t>
  </si>
  <si>
    <t>doprava a montáž herního prvku loď</t>
  </si>
  <si>
    <t>kpl</t>
  </si>
  <si>
    <t>vč. výkopových prací a betonáží</t>
  </si>
  <si>
    <t>140</t>
  </si>
  <si>
    <t>Herní prvek loď, certifikovaný</t>
  </si>
  <si>
    <t>141</t>
  </si>
  <si>
    <t>doprava a montáž herních prvků na útes</t>
  </si>
  <si>
    <t>142</t>
  </si>
  <si>
    <t>Visuté mosty</t>
  </si>
  <si>
    <t>143</t>
  </si>
  <si>
    <t>Dvojité lano</t>
  </si>
  <si>
    <t>144</t>
  </si>
  <si>
    <t>Lanový přechod</t>
  </si>
  <si>
    <t>Rozsocha</t>
  </si>
  <si>
    <t>Chobotnice</t>
  </si>
  <si>
    <t>Cca 60bm broušené akátové kulatiny,od průměru 100-200mm, 0,5m3 akátové či dubové řezivo, cca 30 bm opleteného lana Herkules, nerezová skluzavka z výšky 1,20 m, cca 50ks spojovacích plastových komponentů</t>
  </si>
  <si>
    <t>Pavučiny</t>
  </si>
  <si>
    <t>Cca 36bm broušené akátové kulatiny,od průměru 100-200mm, cca 160 bm opleteného lana Herkules, cca100 ks spojovacích plastových komponentů(téčka+vajíčka)</t>
  </si>
  <si>
    <t>Klády (cca 45 bm broušené akátové kulatiny, závitové tyče)</t>
  </si>
  <si>
    <t>Palisády/špalky</t>
  </si>
  <si>
    <t>Kormidlo - pro vrak, vč. isntalace</t>
  </si>
  <si>
    <t>Zastínění vraku - Pogumovaná UV stabilní venkovní stínící plachta, rozměr cca p m2, vč. kotvícího materiálu</t>
  </si>
  <si>
    <t>Lavičky betonové s dřevěným dubovým sedákem, kvádr, 1200x400x400, vč. instalace - barva šedá hladká, určeno pro nátěr</t>
  </si>
  <si>
    <t>Výměna písku ve stávajících pískovištích, certifikovaný písek určený pro dětská hřiště, vč. materiálu a likvidace původního písku</t>
  </si>
  <si>
    <t>Demontáž vnitřního vybavení sauny vč. elektroinstalace, vč. odvozu a likvidace</t>
  </si>
  <si>
    <t>Certifikace atypických herních prvků</t>
  </si>
  <si>
    <t>156</t>
  </si>
  <si>
    <t>Velkoformátové dlažební desky pro zakrytí šachty 1000x500x120 mm, vč. osazení</t>
  </si>
  <si>
    <t>137</t>
  </si>
  <si>
    <t>916531111R00</t>
  </si>
  <si>
    <t>Osazení akátových obrub na zemní vruty, vč. zemních vrutů</t>
  </si>
  <si>
    <t>Dopadová plocha pod herní prvek loď - kačírek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</si>
  <si>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</si>
  <si>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</si>
  <si>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</si>
  <si>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</si>
  <si>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</si>
  <si>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</si>
  <si>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</si>
  <si>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</si>
  <si>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</si>
  <si>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</si>
  <si>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</si>
  <si>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</si>
  <si>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138</t>
  </si>
  <si>
    <t>Zahrada MŠ Brno, Nádvorní 3, p. o. - Království chobotnice</t>
  </si>
  <si>
    <t>Statutární město Brno, MČ Brno - střed</t>
  </si>
  <si>
    <t>44992785/</t>
  </si>
  <si>
    <t>rekonstrukce školní zahrady</t>
  </si>
  <si>
    <t>Ing. Jitka Vágnerová</t>
  </si>
  <si>
    <t>75691698/</t>
  </si>
  <si>
    <t>Nádvorní 3, Brno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</si>
</sst>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0"/>
      <name val="Arial"/>
      <family val="0"/>
    </font>
    <font>
      <i/>
      <sz val="10"/>
      <color indexed="58"/>
      <name val="Arial"/>
      <family val="0"/>
    </font>
    <font>
      <sz val="10"/>
      <color indexed="59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i/>
      <sz val="10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40" fillId="20" borderId="0" applyNumberFormat="0" applyBorder="0" applyAlignment="0" applyProtection="0"/>
    <xf numFmtId="0" fontId="41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2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right" vertical="top"/>
      <protection/>
    </xf>
    <xf numFmtId="49" fontId="12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14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right" vertical="center"/>
      <protection/>
    </xf>
    <xf numFmtId="49" fontId="10" fillId="34" borderId="0" xfId="0" applyNumberFormat="1" applyFont="1" applyFill="1" applyBorder="1" applyAlignment="1" applyProtection="1">
      <alignment horizontal="right" vertical="center"/>
      <protection/>
    </xf>
    <xf numFmtId="49" fontId="9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0" xfId="0" applyNumberFormat="1" applyFont="1" applyFill="1" applyBorder="1" applyAlignment="1" applyProtection="1">
      <alignment horizontal="right" vertical="center"/>
      <protection/>
    </xf>
    <xf numFmtId="4" fontId="9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16" fillId="35" borderId="26" xfId="0" applyNumberFormat="1" applyFont="1" applyFill="1" applyBorder="1" applyAlignment="1" applyProtection="1">
      <alignment horizontal="center" vertical="center"/>
      <protection/>
    </xf>
    <xf numFmtId="49" fontId="17" fillId="0" borderId="27" xfId="0" applyNumberFormat="1" applyFont="1" applyFill="1" applyBorder="1" applyAlignment="1" applyProtection="1">
      <alignment horizontal="left" vertical="center"/>
      <protection/>
    </xf>
    <xf numFmtId="49" fontId="17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8" fillId="0" borderId="26" xfId="0" applyNumberFormat="1" applyFont="1" applyFill="1" applyBorder="1" applyAlignment="1" applyProtection="1">
      <alignment horizontal="right" vertical="center"/>
      <protection/>
    </xf>
    <xf numFmtId="49" fontId="18" fillId="0" borderId="26" xfId="0" applyNumberFormat="1" applyFont="1" applyFill="1" applyBorder="1" applyAlignment="1" applyProtection="1">
      <alignment horizontal="right" vertical="center"/>
      <protection/>
    </xf>
    <xf numFmtId="4" fontId="18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7" fillId="35" borderId="3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1" applyNumberFormat="1" applyFont="1" applyFill="1" applyBorder="1" applyAlignment="1" applyProtection="1">
      <alignment/>
      <protection/>
    </xf>
    <xf numFmtId="4" fontId="20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8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8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15" fillId="0" borderId="43" xfId="0" applyNumberFormat="1" applyFont="1" applyFill="1" applyBorder="1" applyAlignment="1" applyProtection="1">
      <alignment horizontal="center" vertical="center"/>
      <protection/>
    </xf>
    <xf numFmtId="0" fontId="15" fillId="0" borderId="43" xfId="0" applyNumberFormat="1" applyFont="1" applyFill="1" applyBorder="1" applyAlignment="1" applyProtection="1">
      <alignment horizontal="center" vertical="center"/>
      <protection/>
    </xf>
    <xf numFmtId="49" fontId="19" fillId="0" borderId="44" xfId="0" applyNumberFormat="1" applyFont="1" applyFill="1" applyBorder="1" applyAlignment="1" applyProtection="1">
      <alignment horizontal="left" vertical="center"/>
      <protection/>
    </xf>
    <xf numFmtId="0" fontId="19" fillId="0" borderId="34" xfId="0" applyNumberFormat="1" applyFont="1" applyFill="1" applyBorder="1" applyAlignment="1" applyProtection="1">
      <alignment horizontal="left" vertical="center"/>
      <protection/>
    </xf>
    <xf numFmtId="49" fontId="18" fillId="0" borderId="44" xfId="0" applyNumberFormat="1" applyFont="1" applyFill="1" applyBorder="1" applyAlignment="1" applyProtection="1">
      <alignment horizontal="left" vertical="center"/>
      <protection/>
    </xf>
    <xf numFmtId="0" fontId="18" fillId="0" borderId="34" xfId="0" applyNumberFormat="1" applyFont="1" applyFill="1" applyBorder="1" applyAlignment="1" applyProtection="1">
      <alignment horizontal="left" vertical="center"/>
      <protection/>
    </xf>
    <xf numFmtId="49" fontId="17" fillId="0" borderId="44" xfId="0" applyNumberFormat="1" applyFont="1" applyFill="1" applyBorder="1" applyAlignment="1" applyProtection="1">
      <alignment horizontal="left" vertical="center"/>
      <protection/>
    </xf>
    <xf numFmtId="0" fontId="17" fillId="0" borderId="34" xfId="0" applyNumberFormat="1" applyFont="1" applyFill="1" applyBorder="1" applyAlignment="1" applyProtection="1">
      <alignment horizontal="left" vertical="center"/>
      <protection/>
    </xf>
    <xf numFmtId="49" fontId="17" fillId="35" borderId="44" xfId="0" applyNumberFormat="1" applyFont="1" applyFill="1" applyBorder="1" applyAlignment="1" applyProtection="1">
      <alignment horizontal="left" vertical="center"/>
      <protection/>
    </xf>
    <xf numFmtId="0" fontId="17" fillId="35" borderId="43" xfId="0" applyNumberFormat="1" applyFont="1" applyFill="1" applyBorder="1" applyAlignment="1" applyProtection="1">
      <alignment horizontal="left" vertical="center"/>
      <protection/>
    </xf>
    <xf numFmtId="49" fontId="18" fillId="0" borderId="45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46" xfId="0" applyNumberFormat="1" applyFont="1" applyFill="1" applyBorder="1" applyAlignment="1" applyProtection="1">
      <alignment horizontal="left" vertical="center"/>
      <protection/>
    </xf>
    <xf numFmtId="49" fontId="18" fillId="0" borderId="25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47" xfId="0" applyNumberFormat="1" applyFont="1" applyFill="1" applyBorder="1" applyAlignment="1" applyProtection="1">
      <alignment horizontal="left" vertical="center"/>
      <protection/>
    </xf>
    <xf numFmtId="49" fontId="18" fillId="0" borderId="48" xfId="0" applyNumberFormat="1" applyFont="1" applyFill="1" applyBorder="1" applyAlignment="1" applyProtection="1">
      <alignment horizontal="left" vertical="center"/>
      <protection/>
    </xf>
    <xf numFmtId="0" fontId="18" fillId="0" borderId="37" xfId="0" applyNumberFormat="1" applyFont="1" applyFill="1" applyBorder="1" applyAlignment="1" applyProtection="1">
      <alignment horizontal="left" vertical="center"/>
      <protection/>
    </xf>
    <xf numFmtId="0" fontId="18" fillId="0" borderId="49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37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49" fontId="9" fillId="33" borderId="12" xfId="0" applyNumberFormat="1" applyFont="1" applyFill="1" applyBorder="1" applyAlignment="1" applyProtection="1">
      <alignment horizontal="left" vertical="center" wrapText="1"/>
      <protection/>
    </xf>
    <xf numFmtId="49" fontId="10" fillId="34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33" borderId="0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vertical="center" wrapText="1"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vertical="center"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6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1" fillId="0" borderId="33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FFFF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80"/>
      <rgbColor rgb="000000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93"/>
  <sheetViews>
    <sheetView zoomScalePageLayoutView="0" workbookViewId="0" topLeftCell="A1">
      <pane ySplit="11" topLeftCell="A272" activePane="bottomLeft" state="frozen"/>
      <selection pane="topLeft" activeCell="A1" sqref="A1"/>
      <selection pane="bottomLeft" activeCell="J250" sqref="J250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41.8515625" style="129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2" width="12.140625" style="0" hidden="1" customWidth="1"/>
  </cols>
  <sheetData>
    <row r="1" spans="1:13" ht="72.75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4" ht="12.75">
      <c r="A2" s="64" t="s">
        <v>1</v>
      </c>
      <c r="B2" s="65"/>
      <c r="C2" s="65"/>
      <c r="D2" s="68" t="s">
        <v>684</v>
      </c>
      <c r="E2" s="70" t="s">
        <v>500</v>
      </c>
      <c r="F2" s="65"/>
      <c r="G2" s="70" t="s">
        <v>6</v>
      </c>
      <c r="H2" s="71" t="s">
        <v>519</v>
      </c>
      <c r="I2" s="72" t="s">
        <v>685</v>
      </c>
      <c r="J2" s="65"/>
      <c r="K2" s="65"/>
      <c r="L2" s="65"/>
      <c r="M2" s="73"/>
      <c r="N2" s="36"/>
    </row>
    <row r="3" spans="1:14" ht="12.75">
      <c r="A3" s="66"/>
      <c r="B3" s="67"/>
      <c r="C3" s="67"/>
      <c r="D3" s="116"/>
      <c r="E3" s="67"/>
      <c r="F3" s="67"/>
      <c r="G3" s="67"/>
      <c r="H3" s="67"/>
      <c r="I3" s="67"/>
      <c r="J3" s="67"/>
      <c r="K3" s="67"/>
      <c r="L3" s="67"/>
      <c r="M3" s="74"/>
      <c r="N3" s="36"/>
    </row>
    <row r="4" spans="1:14" ht="12.75">
      <c r="A4" s="75" t="s">
        <v>2</v>
      </c>
      <c r="B4" s="67"/>
      <c r="C4" s="67"/>
      <c r="D4" s="76" t="s">
        <v>687</v>
      </c>
      <c r="E4" s="77" t="s">
        <v>501</v>
      </c>
      <c r="F4" s="67"/>
      <c r="G4" s="77" t="s">
        <v>515</v>
      </c>
      <c r="H4" s="78" t="s">
        <v>520</v>
      </c>
      <c r="I4" s="76" t="s">
        <v>688</v>
      </c>
      <c r="J4" s="67"/>
      <c r="K4" s="67"/>
      <c r="L4" s="67"/>
      <c r="M4" s="74"/>
      <c r="N4" s="36"/>
    </row>
    <row r="5" spans="1:14" ht="12.75">
      <c r="A5" s="66"/>
      <c r="B5" s="67"/>
      <c r="C5" s="67"/>
      <c r="D5" s="78"/>
      <c r="E5" s="67"/>
      <c r="F5" s="67"/>
      <c r="G5" s="67"/>
      <c r="H5" s="67"/>
      <c r="I5" s="67"/>
      <c r="J5" s="67"/>
      <c r="K5" s="67"/>
      <c r="L5" s="67"/>
      <c r="M5" s="74"/>
      <c r="N5" s="36"/>
    </row>
    <row r="6" spans="1:14" ht="12.75">
      <c r="A6" s="75" t="s">
        <v>3</v>
      </c>
      <c r="B6" s="67"/>
      <c r="C6" s="67"/>
      <c r="D6" s="76" t="s">
        <v>690</v>
      </c>
      <c r="E6" s="77" t="s">
        <v>502</v>
      </c>
      <c r="F6" s="67"/>
      <c r="G6" s="77" t="s">
        <v>516</v>
      </c>
      <c r="H6" s="78" t="s">
        <v>521</v>
      </c>
      <c r="I6" s="76" t="s">
        <v>6</v>
      </c>
      <c r="J6" s="67"/>
      <c r="K6" s="67"/>
      <c r="L6" s="67"/>
      <c r="M6" s="74"/>
      <c r="N6" s="36"/>
    </row>
    <row r="7" spans="1:14" ht="12.75">
      <c r="A7" s="66"/>
      <c r="B7" s="67"/>
      <c r="C7" s="67"/>
      <c r="D7" s="78"/>
      <c r="E7" s="67"/>
      <c r="F7" s="67"/>
      <c r="G7" s="67"/>
      <c r="H7" s="67"/>
      <c r="I7" s="67"/>
      <c r="J7" s="67"/>
      <c r="K7" s="67"/>
      <c r="L7" s="67"/>
      <c r="M7" s="74"/>
      <c r="N7" s="36"/>
    </row>
    <row r="8" spans="1:14" ht="12.75">
      <c r="A8" s="75" t="s">
        <v>4</v>
      </c>
      <c r="B8" s="67"/>
      <c r="C8" s="67"/>
      <c r="D8" s="76">
        <v>823</v>
      </c>
      <c r="E8" s="77" t="s">
        <v>503</v>
      </c>
      <c r="F8" s="67"/>
      <c r="G8" s="77" t="s">
        <v>515</v>
      </c>
      <c r="H8" s="78" t="s">
        <v>522</v>
      </c>
      <c r="I8" s="76" t="s">
        <v>688</v>
      </c>
      <c r="J8" s="67"/>
      <c r="K8" s="67"/>
      <c r="L8" s="67"/>
      <c r="M8" s="74"/>
      <c r="N8" s="36"/>
    </row>
    <row r="9" spans="1:14" ht="12.75">
      <c r="A9" s="79"/>
      <c r="B9" s="80"/>
      <c r="C9" s="80"/>
      <c r="D9" s="117"/>
      <c r="E9" s="80"/>
      <c r="F9" s="80"/>
      <c r="G9" s="80"/>
      <c r="H9" s="80"/>
      <c r="I9" s="80"/>
      <c r="J9" s="80"/>
      <c r="K9" s="80"/>
      <c r="L9" s="80"/>
      <c r="M9" s="81"/>
      <c r="N9" s="36"/>
    </row>
    <row r="10" spans="1:14" ht="12.75">
      <c r="A10" s="1" t="s">
        <v>5</v>
      </c>
      <c r="B10" s="11" t="s">
        <v>132</v>
      </c>
      <c r="C10" s="11" t="s">
        <v>138</v>
      </c>
      <c r="D10" s="118" t="s">
        <v>266</v>
      </c>
      <c r="E10" s="11" t="s">
        <v>504</v>
      </c>
      <c r="F10" s="20" t="s">
        <v>514</v>
      </c>
      <c r="G10" s="24" t="s">
        <v>517</v>
      </c>
      <c r="H10" s="82" t="s">
        <v>523</v>
      </c>
      <c r="I10" s="83"/>
      <c r="J10" s="84"/>
      <c r="K10" s="82" t="s">
        <v>528</v>
      </c>
      <c r="L10" s="84"/>
      <c r="M10" s="32" t="s">
        <v>529</v>
      </c>
      <c r="N10" s="37"/>
    </row>
    <row r="11" spans="1:62" ht="12.75">
      <c r="A11" s="2" t="s">
        <v>6</v>
      </c>
      <c r="B11" s="12" t="s">
        <v>6</v>
      </c>
      <c r="C11" s="12" t="s">
        <v>6</v>
      </c>
      <c r="D11" s="119" t="s">
        <v>267</v>
      </c>
      <c r="E11" s="12" t="s">
        <v>6</v>
      </c>
      <c r="F11" s="12" t="s">
        <v>6</v>
      </c>
      <c r="G11" s="25" t="s">
        <v>518</v>
      </c>
      <c r="H11" s="26" t="s">
        <v>524</v>
      </c>
      <c r="I11" s="27" t="s">
        <v>526</v>
      </c>
      <c r="J11" s="28" t="s">
        <v>527</v>
      </c>
      <c r="K11" s="26" t="s">
        <v>517</v>
      </c>
      <c r="L11" s="28" t="s">
        <v>527</v>
      </c>
      <c r="M11" s="33" t="s">
        <v>530</v>
      </c>
      <c r="N11" s="37"/>
      <c r="Z11" s="30" t="s">
        <v>533</v>
      </c>
      <c r="AA11" s="30" t="s">
        <v>534</v>
      </c>
      <c r="AB11" s="30" t="s">
        <v>535</v>
      </c>
      <c r="AC11" s="30" t="s">
        <v>536</v>
      </c>
      <c r="AD11" s="30" t="s">
        <v>537</v>
      </c>
      <c r="AE11" s="30" t="s">
        <v>538</v>
      </c>
      <c r="AF11" s="30" t="s">
        <v>539</v>
      </c>
      <c r="AG11" s="30" t="s">
        <v>540</v>
      </c>
      <c r="AH11" s="30" t="s">
        <v>541</v>
      </c>
      <c r="BH11" s="30" t="s">
        <v>591</v>
      </c>
      <c r="BI11" s="30" t="s">
        <v>592</v>
      </c>
      <c r="BJ11" s="30" t="s">
        <v>593</v>
      </c>
    </row>
    <row r="12" spans="1:13" ht="12.75">
      <c r="A12" s="3"/>
      <c r="B12" s="13" t="s">
        <v>133</v>
      </c>
      <c r="C12" s="13"/>
      <c r="D12" s="120" t="s">
        <v>268</v>
      </c>
      <c r="E12" s="3" t="s">
        <v>6</v>
      </c>
      <c r="F12" s="3" t="s">
        <v>6</v>
      </c>
      <c r="G12" s="3" t="s">
        <v>6</v>
      </c>
      <c r="H12" s="40">
        <f>H13+H26+H30+H38</f>
        <v>0</v>
      </c>
      <c r="I12" s="40">
        <f>I13+I26+I30+I38</f>
        <v>0</v>
      </c>
      <c r="J12" s="40">
        <f>J13+J26+J30+J38</f>
        <v>0</v>
      </c>
      <c r="K12" s="29"/>
      <c r="L12" s="40">
        <f>L13+L26+L30+L38</f>
        <v>123.5582028</v>
      </c>
      <c r="M12" s="29"/>
    </row>
    <row r="13" spans="1:47" ht="12.75">
      <c r="A13" s="4"/>
      <c r="B13" s="14" t="s">
        <v>133</v>
      </c>
      <c r="C13" s="14" t="s">
        <v>17</v>
      </c>
      <c r="D13" s="121" t="s">
        <v>269</v>
      </c>
      <c r="E13" s="4" t="s">
        <v>6</v>
      </c>
      <c r="F13" s="4" t="s">
        <v>6</v>
      </c>
      <c r="G13" s="4" t="s">
        <v>6</v>
      </c>
      <c r="H13" s="41">
        <f>SUM(H14:H25)</f>
        <v>0</v>
      </c>
      <c r="I13" s="41">
        <f>SUM(I14:I25)</f>
        <v>0</v>
      </c>
      <c r="J13" s="41">
        <f>SUM(J14:J25)</f>
        <v>0</v>
      </c>
      <c r="K13" s="30"/>
      <c r="L13" s="41">
        <f>SUM(L14:L25)</f>
        <v>67.304</v>
      </c>
      <c r="M13" s="30"/>
      <c r="AI13" s="30" t="s">
        <v>133</v>
      </c>
      <c r="AS13" s="41">
        <f>SUM(AJ14:AJ25)</f>
        <v>0</v>
      </c>
      <c r="AT13" s="41">
        <f>SUM(AK14:AK25)</f>
        <v>0</v>
      </c>
      <c r="AU13" s="41">
        <f>SUM(AL14:AL25)</f>
        <v>0</v>
      </c>
    </row>
    <row r="14" spans="1:62" ht="25.5">
      <c r="A14" s="5" t="s">
        <v>7</v>
      </c>
      <c r="B14" s="5" t="s">
        <v>133</v>
      </c>
      <c r="C14" s="5" t="s">
        <v>139</v>
      </c>
      <c r="D14" s="122" t="s">
        <v>270</v>
      </c>
      <c r="E14" s="5" t="s">
        <v>505</v>
      </c>
      <c r="F14" s="21">
        <v>188</v>
      </c>
      <c r="G14" s="21">
        <v>0</v>
      </c>
      <c r="H14" s="21">
        <f>F14*AO14</f>
        <v>0</v>
      </c>
      <c r="I14" s="21">
        <f>F14*AP14</f>
        <v>0</v>
      </c>
      <c r="J14" s="21">
        <f>F14*G14</f>
        <v>0</v>
      </c>
      <c r="K14" s="21">
        <v>0.358</v>
      </c>
      <c r="L14" s="21">
        <f>F14*K14</f>
        <v>67.304</v>
      </c>
      <c r="M14" s="34" t="s">
        <v>531</v>
      </c>
      <c r="Z14" s="38">
        <f>IF(AQ14="5",BJ14,0)</f>
        <v>0</v>
      </c>
      <c r="AB14" s="38">
        <f>IF(AQ14="1",BH14,0)</f>
        <v>0</v>
      </c>
      <c r="AC14" s="38">
        <f>IF(AQ14="1",BI14,0)</f>
        <v>0</v>
      </c>
      <c r="AD14" s="38">
        <f>IF(AQ14="7",BH14,0)</f>
        <v>0</v>
      </c>
      <c r="AE14" s="38">
        <f>IF(AQ14="7",BI14,0)</f>
        <v>0</v>
      </c>
      <c r="AF14" s="38">
        <f>IF(AQ14="2",BH14,0)</f>
        <v>0</v>
      </c>
      <c r="AG14" s="38">
        <f>IF(AQ14="2",BI14,0)</f>
        <v>0</v>
      </c>
      <c r="AH14" s="38">
        <f>IF(AQ14="0",BJ14,0)</f>
        <v>0</v>
      </c>
      <c r="AI14" s="30" t="s">
        <v>133</v>
      </c>
      <c r="AJ14" s="21">
        <f>IF(AN14=0,J14,0)</f>
        <v>0</v>
      </c>
      <c r="AK14" s="21">
        <f>IF(AN14=15,J14,0)</f>
        <v>0</v>
      </c>
      <c r="AL14" s="21">
        <f>IF(AN14=21,J14,0)</f>
        <v>0</v>
      </c>
      <c r="AN14" s="38">
        <v>15</v>
      </c>
      <c r="AO14" s="38">
        <f>G14*0</f>
        <v>0</v>
      </c>
      <c r="AP14" s="38">
        <f>G14*(1-0)</f>
        <v>0</v>
      </c>
      <c r="AQ14" s="34" t="s">
        <v>7</v>
      </c>
      <c r="AV14" s="38">
        <f>AW14+AX14</f>
        <v>0</v>
      </c>
      <c r="AW14" s="38">
        <f>F14*AO14</f>
        <v>0</v>
      </c>
      <c r="AX14" s="38">
        <f>F14*AP14</f>
        <v>0</v>
      </c>
      <c r="AY14" s="39" t="s">
        <v>542</v>
      </c>
      <c r="AZ14" s="39" t="s">
        <v>564</v>
      </c>
      <c r="BA14" s="30" t="s">
        <v>586</v>
      </c>
      <c r="BC14" s="38">
        <f>AW14+AX14</f>
        <v>0</v>
      </c>
      <c r="BD14" s="38">
        <f>G14/(100-BE14)*100</f>
        <v>0</v>
      </c>
      <c r="BE14" s="38">
        <v>0</v>
      </c>
      <c r="BF14" s="38">
        <f>L14</f>
        <v>67.304</v>
      </c>
      <c r="BH14" s="21">
        <f>F14*AO14</f>
        <v>0</v>
      </c>
      <c r="BI14" s="21">
        <f>F14*AP14</f>
        <v>0</v>
      </c>
      <c r="BJ14" s="21">
        <f>F14*G14</f>
        <v>0</v>
      </c>
    </row>
    <row r="15" ht="12.75">
      <c r="D15" s="18" t="s">
        <v>271</v>
      </c>
    </row>
    <row r="16" spans="3:13" ht="12.75">
      <c r="C16" s="16" t="s">
        <v>131</v>
      </c>
      <c r="D16" s="85" t="s">
        <v>272</v>
      </c>
      <c r="E16" s="86"/>
      <c r="F16" s="86"/>
      <c r="G16" s="86"/>
      <c r="H16" s="86"/>
      <c r="I16" s="86"/>
      <c r="J16" s="86"/>
      <c r="K16" s="86"/>
      <c r="L16" s="86"/>
      <c r="M16" s="86"/>
    </row>
    <row r="17" spans="1:62" ht="25.5">
      <c r="A17" s="5" t="s">
        <v>8</v>
      </c>
      <c r="B17" s="5" t="s">
        <v>133</v>
      </c>
      <c r="C17" s="5" t="s">
        <v>140</v>
      </c>
      <c r="D17" s="122" t="s">
        <v>273</v>
      </c>
      <c r="E17" s="5" t="s">
        <v>506</v>
      </c>
      <c r="F17" s="21">
        <v>2</v>
      </c>
      <c r="G17" s="21">
        <v>0</v>
      </c>
      <c r="H17" s="21">
        <f>F17*AO17</f>
        <v>0</v>
      </c>
      <c r="I17" s="21">
        <f>F17*AP17</f>
        <v>0</v>
      </c>
      <c r="J17" s="21">
        <f>F17*G17</f>
        <v>0</v>
      </c>
      <c r="K17" s="21">
        <v>0</v>
      </c>
      <c r="L17" s="21">
        <f>F17*K17</f>
        <v>0</v>
      </c>
      <c r="M17" s="34" t="s">
        <v>531</v>
      </c>
      <c r="Z17" s="38">
        <f>IF(AQ17="5",BJ17,0)</f>
        <v>0</v>
      </c>
      <c r="AB17" s="38">
        <f>IF(AQ17="1",BH17,0)</f>
        <v>0</v>
      </c>
      <c r="AC17" s="38">
        <f>IF(AQ17="1",BI17,0)</f>
        <v>0</v>
      </c>
      <c r="AD17" s="38">
        <f>IF(AQ17="7",BH17,0)</f>
        <v>0</v>
      </c>
      <c r="AE17" s="38">
        <f>IF(AQ17="7",BI17,0)</f>
        <v>0</v>
      </c>
      <c r="AF17" s="38">
        <f>IF(AQ17="2",BH17,0)</f>
        <v>0</v>
      </c>
      <c r="AG17" s="38">
        <f>IF(AQ17="2",BI17,0)</f>
        <v>0</v>
      </c>
      <c r="AH17" s="38">
        <f>IF(AQ17="0",BJ17,0)</f>
        <v>0</v>
      </c>
      <c r="AI17" s="30" t="s">
        <v>133</v>
      </c>
      <c r="AJ17" s="21">
        <f>IF(AN17=0,J17,0)</f>
        <v>0</v>
      </c>
      <c r="AK17" s="21">
        <f>IF(AN17=15,J17,0)</f>
        <v>0</v>
      </c>
      <c r="AL17" s="21">
        <f>IF(AN17=21,J17,0)</f>
        <v>0</v>
      </c>
      <c r="AN17" s="38">
        <v>15</v>
      </c>
      <c r="AO17" s="38">
        <f>G17*0</f>
        <v>0</v>
      </c>
      <c r="AP17" s="38">
        <f>G17*(1-0)</f>
        <v>0</v>
      </c>
      <c r="AQ17" s="34" t="s">
        <v>7</v>
      </c>
      <c r="AV17" s="38">
        <f>AW17+AX17</f>
        <v>0</v>
      </c>
      <c r="AW17" s="38">
        <f>F17*AO17</f>
        <v>0</v>
      </c>
      <c r="AX17" s="38">
        <f>F17*AP17</f>
        <v>0</v>
      </c>
      <c r="AY17" s="39" t="s">
        <v>542</v>
      </c>
      <c r="AZ17" s="39" t="s">
        <v>564</v>
      </c>
      <c r="BA17" s="30" t="s">
        <v>586</v>
      </c>
      <c r="BC17" s="38">
        <f>AW17+AX17</f>
        <v>0</v>
      </c>
      <c r="BD17" s="38">
        <f>G17/(100-BE17)*100</f>
        <v>0</v>
      </c>
      <c r="BE17" s="38">
        <v>0</v>
      </c>
      <c r="BF17" s="38">
        <f>L17</f>
        <v>0</v>
      </c>
      <c r="BH17" s="21">
        <f>F17*AO17</f>
        <v>0</v>
      </c>
      <c r="BI17" s="21">
        <f>F17*AP17</f>
        <v>0</v>
      </c>
      <c r="BJ17" s="21">
        <f>F17*G17</f>
        <v>0</v>
      </c>
    </row>
    <row r="18" spans="3:13" ht="12.75">
      <c r="C18" s="16" t="s">
        <v>131</v>
      </c>
      <c r="D18" s="85" t="s">
        <v>274</v>
      </c>
      <c r="E18" s="86"/>
      <c r="F18" s="86"/>
      <c r="G18" s="86"/>
      <c r="H18" s="86"/>
      <c r="I18" s="86"/>
      <c r="J18" s="86"/>
      <c r="K18" s="86"/>
      <c r="L18" s="86"/>
      <c r="M18" s="86"/>
    </row>
    <row r="19" spans="1:62" ht="25.5">
      <c r="A19" s="5" t="s">
        <v>9</v>
      </c>
      <c r="B19" s="5" t="s">
        <v>133</v>
      </c>
      <c r="C19" s="5" t="s">
        <v>141</v>
      </c>
      <c r="D19" s="122" t="s">
        <v>275</v>
      </c>
      <c r="E19" s="5" t="s">
        <v>506</v>
      </c>
      <c r="F19" s="21">
        <v>2</v>
      </c>
      <c r="G19" s="21">
        <v>0</v>
      </c>
      <c r="H19" s="21">
        <f>F19*AO19</f>
        <v>0</v>
      </c>
      <c r="I19" s="21">
        <f>F19*AP19</f>
        <v>0</v>
      </c>
      <c r="J19" s="21">
        <f>F19*G19</f>
        <v>0</v>
      </c>
      <c r="K19" s="21">
        <v>0</v>
      </c>
      <c r="L19" s="21">
        <f>F19*K19</f>
        <v>0</v>
      </c>
      <c r="M19" s="34" t="s">
        <v>531</v>
      </c>
      <c r="Z19" s="38">
        <f>IF(AQ19="5",BJ19,0)</f>
        <v>0</v>
      </c>
      <c r="AB19" s="38">
        <f>IF(AQ19="1",BH19,0)</f>
        <v>0</v>
      </c>
      <c r="AC19" s="38">
        <f>IF(AQ19="1",BI19,0)</f>
        <v>0</v>
      </c>
      <c r="AD19" s="38">
        <f>IF(AQ19="7",BH19,0)</f>
        <v>0</v>
      </c>
      <c r="AE19" s="38">
        <f>IF(AQ19="7",BI19,0)</f>
        <v>0</v>
      </c>
      <c r="AF19" s="38">
        <f>IF(AQ19="2",BH19,0)</f>
        <v>0</v>
      </c>
      <c r="AG19" s="38">
        <f>IF(AQ19="2",BI19,0)</f>
        <v>0</v>
      </c>
      <c r="AH19" s="38">
        <f>IF(AQ19="0",BJ19,0)</f>
        <v>0</v>
      </c>
      <c r="AI19" s="30" t="s">
        <v>133</v>
      </c>
      <c r="AJ19" s="21">
        <f>IF(AN19=0,J19,0)</f>
        <v>0</v>
      </c>
      <c r="AK19" s="21">
        <f>IF(AN19=15,J19,0)</f>
        <v>0</v>
      </c>
      <c r="AL19" s="21">
        <f>IF(AN19=21,J19,0)</f>
        <v>0</v>
      </c>
      <c r="AN19" s="38">
        <v>15</v>
      </c>
      <c r="AO19" s="38">
        <f>G19*0</f>
        <v>0</v>
      </c>
      <c r="AP19" s="38">
        <f>G19*(1-0)</f>
        <v>0</v>
      </c>
      <c r="AQ19" s="34" t="s">
        <v>7</v>
      </c>
      <c r="AV19" s="38">
        <f>AW19+AX19</f>
        <v>0</v>
      </c>
      <c r="AW19" s="38">
        <f>F19*AO19</f>
        <v>0</v>
      </c>
      <c r="AX19" s="38">
        <f>F19*AP19</f>
        <v>0</v>
      </c>
      <c r="AY19" s="39" t="s">
        <v>542</v>
      </c>
      <c r="AZ19" s="39" t="s">
        <v>564</v>
      </c>
      <c r="BA19" s="30" t="s">
        <v>586</v>
      </c>
      <c r="BC19" s="38">
        <f>AW19+AX19</f>
        <v>0</v>
      </c>
      <c r="BD19" s="38">
        <f>G19/(100-BE19)*100</f>
        <v>0</v>
      </c>
      <c r="BE19" s="38">
        <v>0</v>
      </c>
      <c r="BF19" s="38">
        <f>L19</f>
        <v>0</v>
      </c>
      <c r="BH19" s="21">
        <f>F19*AO19</f>
        <v>0</v>
      </c>
      <c r="BI19" s="21">
        <f>F19*AP19</f>
        <v>0</v>
      </c>
      <c r="BJ19" s="21">
        <f>F19*G19</f>
        <v>0</v>
      </c>
    </row>
    <row r="20" spans="3:13" ht="12.75">
      <c r="C20" s="16" t="s">
        <v>131</v>
      </c>
      <c r="D20" s="85" t="s">
        <v>276</v>
      </c>
      <c r="E20" s="86"/>
      <c r="F20" s="86"/>
      <c r="G20" s="86"/>
      <c r="H20" s="86"/>
      <c r="I20" s="86"/>
      <c r="J20" s="86"/>
      <c r="K20" s="86"/>
      <c r="L20" s="86"/>
      <c r="M20" s="86"/>
    </row>
    <row r="21" spans="1:62" ht="25.5">
      <c r="A21" s="5" t="s">
        <v>10</v>
      </c>
      <c r="B21" s="5" t="s">
        <v>133</v>
      </c>
      <c r="C21" s="5" t="s">
        <v>142</v>
      </c>
      <c r="D21" s="122" t="s">
        <v>277</v>
      </c>
      <c r="E21" s="5" t="s">
        <v>506</v>
      </c>
      <c r="F21" s="21">
        <v>3</v>
      </c>
      <c r="G21" s="21">
        <v>0</v>
      </c>
      <c r="H21" s="21">
        <f>F21*AO21</f>
        <v>0</v>
      </c>
      <c r="I21" s="21">
        <f>F21*AP21</f>
        <v>0</v>
      </c>
      <c r="J21" s="21">
        <f>F21*G21</f>
        <v>0</v>
      </c>
      <c r="K21" s="21">
        <v>0</v>
      </c>
      <c r="L21" s="21">
        <f>F21*K21</f>
        <v>0</v>
      </c>
      <c r="M21" s="34" t="s">
        <v>531</v>
      </c>
      <c r="Z21" s="38">
        <f>IF(AQ21="5",BJ21,0)</f>
        <v>0</v>
      </c>
      <c r="AB21" s="38">
        <f>IF(AQ21="1",BH21,0)</f>
        <v>0</v>
      </c>
      <c r="AC21" s="38">
        <f>IF(AQ21="1",BI21,0)</f>
        <v>0</v>
      </c>
      <c r="AD21" s="38">
        <f>IF(AQ21="7",BH21,0)</f>
        <v>0</v>
      </c>
      <c r="AE21" s="38">
        <f>IF(AQ21="7",BI21,0)</f>
        <v>0</v>
      </c>
      <c r="AF21" s="38">
        <f>IF(AQ21="2",BH21,0)</f>
        <v>0</v>
      </c>
      <c r="AG21" s="38">
        <f>IF(AQ21="2",BI21,0)</f>
        <v>0</v>
      </c>
      <c r="AH21" s="38">
        <f>IF(AQ21="0",BJ21,0)</f>
        <v>0</v>
      </c>
      <c r="AI21" s="30" t="s">
        <v>133</v>
      </c>
      <c r="AJ21" s="21">
        <f>IF(AN21=0,J21,0)</f>
        <v>0</v>
      </c>
      <c r="AK21" s="21">
        <f>IF(AN21=15,J21,0)</f>
        <v>0</v>
      </c>
      <c r="AL21" s="21">
        <f>IF(AN21=21,J21,0)</f>
        <v>0</v>
      </c>
      <c r="AN21" s="38">
        <v>15</v>
      </c>
      <c r="AO21" s="38">
        <f>G21*0</f>
        <v>0</v>
      </c>
      <c r="AP21" s="38">
        <f>G21*(1-0)</f>
        <v>0</v>
      </c>
      <c r="AQ21" s="34" t="s">
        <v>7</v>
      </c>
      <c r="AV21" s="38">
        <f>AW21+AX21</f>
        <v>0</v>
      </c>
      <c r="AW21" s="38">
        <f>F21*AO21</f>
        <v>0</v>
      </c>
      <c r="AX21" s="38">
        <f>F21*AP21</f>
        <v>0</v>
      </c>
      <c r="AY21" s="39" t="s">
        <v>542</v>
      </c>
      <c r="AZ21" s="39" t="s">
        <v>564</v>
      </c>
      <c r="BA21" s="30" t="s">
        <v>586</v>
      </c>
      <c r="BC21" s="38">
        <f>AW21+AX21</f>
        <v>0</v>
      </c>
      <c r="BD21" s="38">
        <f>G21/(100-BE21)*100</f>
        <v>0</v>
      </c>
      <c r="BE21" s="38">
        <v>0</v>
      </c>
      <c r="BF21" s="38">
        <f>L21</f>
        <v>0</v>
      </c>
      <c r="BH21" s="21">
        <f>F21*AO21</f>
        <v>0</v>
      </c>
      <c r="BI21" s="21">
        <f>F21*AP21</f>
        <v>0</v>
      </c>
      <c r="BJ21" s="21">
        <f>F21*G21</f>
        <v>0</v>
      </c>
    </row>
    <row r="22" spans="3:13" ht="12.75">
      <c r="C22" s="16" t="s">
        <v>131</v>
      </c>
      <c r="D22" s="85" t="s">
        <v>278</v>
      </c>
      <c r="E22" s="86"/>
      <c r="F22" s="86"/>
      <c r="G22" s="86"/>
      <c r="H22" s="86"/>
      <c r="I22" s="86"/>
      <c r="J22" s="86"/>
      <c r="K22" s="86"/>
      <c r="L22" s="86"/>
      <c r="M22" s="86"/>
    </row>
    <row r="23" spans="1:62" ht="25.5">
      <c r="A23" s="5" t="s">
        <v>11</v>
      </c>
      <c r="B23" s="5" t="s">
        <v>133</v>
      </c>
      <c r="C23" s="5" t="s">
        <v>143</v>
      </c>
      <c r="D23" s="122" t="s">
        <v>279</v>
      </c>
      <c r="E23" s="5" t="s">
        <v>506</v>
      </c>
      <c r="F23" s="21">
        <v>2</v>
      </c>
      <c r="G23" s="21">
        <v>0</v>
      </c>
      <c r="H23" s="21">
        <f>F23*AO23</f>
        <v>0</v>
      </c>
      <c r="I23" s="21">
        <f>F23*AP23</f>
        <v>0</v>
      </c>
      <c r="J23" s="21">
        <f>F23*G23</f>
        <v>0</v>
      </c>
      <c r="K23" s="21">
        <v>0</v>
      </c>
      <c r="L23" s="21">
        <f>F23*K23</f>
        <v>0</v>
      </c>
      <c r="M23" s="34" t="s">
        <v>531</v>
      </c>
      <c r="Z23" s="38">
        <f>IF(AQ23="5",BJ23,0)</f>
        <v>0</v>
      </c>
      <c r="AB23" s="38">
        <f>IF(AQ23="1",BH23,0)</f>
        <v>0</v>
      </c>
      <c r="AC23" s="38">
        <f>IF(AQ23="1",BI23,0)</f>
        <v>0</v>
      </c>
      <c r="AD23" s="38">
        <f>IF(AQ23="7",BH23,0)</f>
        <v>0</v>
      </c>
      <c r="AE23" s="38">
        <f>IF(AQ23="7",BI23,0)</f>
        <v>0</v>
      </c>
      <c r="AF23" s="38">
        <f>IF(AQ23="2",BH23,0)</f>
        <v>0</v>
      </c>
      <c r="AG23" s="38">
        <f>IF(AQ23="2",BI23,0)</f>
        <v>0</v>
      </c>
      <c r="AH23" s="38">
        <f>IF(AQ23="0",BJ23,0)</f>
        <v>0</v>
      </c>
      <c r="AI23" s="30" t="s">
        <v>133</v>
      </c>
      <c r="AJ23" s="21">
        <f>IF(AN23=0,J23,0)</f>
        <v>0</v>
      </c>
      <c r="AK23" s="21">
        <f>IF(AN23=15,J23,0)</f>
        <v>0</v>
      </c>
      <c r="AL23" s="21">
        <f>IF(AN23=21,J23,0)</f>
        <v>0</v>
      </c>
      <c r="AN23" s="38">
        <v>15</v>
      </c>
      <c r="AO23" s="38">
        <f>G23*0</f>
        <v>0</v>
      </c>
      <c r="AP23" s="38">
        <f>G23*(1-0)</f>
        <v>0</v>
      </c>
      <c r="AQ23" s="34" t="s">
        <v>7</v>
      </c>
      <c r="AV23" s="38">
        <f>AW23+AX23</f>
        <v>0</v>
      </c>
      <c r="AW23" s="38">
        <f>F23*AO23</f>
        <v>0</v>
      </c>
      <c r="AX23" s="38">
        <f>F23*AP23</f>
        <v>0</v>
      </c>
      <c r="AY23" s="39" t="s">
        <v>542</v>
      </c>
      <c r="AZ23" s="39" t="s">
        <v>564</v>
      </c>
      <c r="BA23" s="30" t="s">
        <v>586</v>
      </c>
      <c r="BC23" s="38">
        <f>AW23+AX23</f>
        <v>0</v>
      </c>
      <c r="BD23" s="38">
        <f>G23/(100-BE23)*100</f>
        <v>0</v>
      </c>
      <c r="BE23" s="38">
        <v>0</v>
      </c>
      <c r="BF23" s="38">
        <f>L23</f>
        <v>0</v>
      </c>
      <c r="BH23" s="21">
        <f>F23*AO23</f>
        <v>0</v>
      </c>
      <c r="BI23" s="21">
        <f>F23*AP23</f>
        <v>0</v>
      </c>
      <c r="BJ23" s="21">
        <f>F23*G23</f>
        <v>0</v>
      </c>
    </row>
    <row r="24" spans="3:13" ht="12.75">
      <c r="C24" s="16" t="s">
        <v>131</v>
      </c>
      <c r="D24" s="85" t="s">
        <v>280</v>
      </c>
      <c r="E24" s="86"/>
      <c r="F24" s="86"/>
      <c r="G24" s="86"/>
      <c r="H24" s="86"/>
      <c r="I24" s="86"/>
      <c r="J24" s="86"/>
      <c r="K24" s="86"/>
      <c r="L24" s="86"/>
      <c r="M24" s="86"/>
    </row>
    <row r="25" spans="1:62" ht="12.75">
      <c r="A25" s="5" t="s">
        <v>12</v>
      </c>
      <c r="B25" s="5" t="s">
        <v>133</v>
      </c>
      <c r="C25" s="5" t="s">
        <v>144</v>
      </c>
      <c r="D25" s="122" t="s">
        <v>281</v>
      </c>
      <c r="E25" s="5" t="s">
        <v>507</v>
      </c>
      <c r="F25" s="21">
        <v>3</v>
      </c>
      <c r="G25" s="21">
        <v>0</v>
      </c>
      <c r="H25" s="21">
        <f>F25*AO25</f>
        <v>0</v>
      </c>
      <c r="I25" s="21">
        <f>F25*AP25</f>
        <v>0</v>
      </c>
      <c r="J25" s="21">
        <f>F25*G25</f>
        <v>0</v>
      </c>
      <c r="K25" s="21">
        <v>0</v>
      </c>
      <c r="L25" s="21">
        <f>F25*K25</f>
        <v>0</v>
      </c>
      <c r="M25" s="34" t="s">
        <v>531</v>
      </c>
      <c r="Z25" s="38">
        <f>IF(AQ25="5",BJ25,0)</f>
        <v>0</v>
      </c>
      <c r="AB25" s="38">
        <f>IF(AQ25="1",BH25,0)</f>
        <v>0</v>
      </c>
      <c r="AC25" s="38">
        <f>IF(AQ25="1",BI25,0)</f>
        <v>0</v>
      </c>
      <c r="AD25" s="38">
        <f>IF(AQ25="7",BH25,0)</f>
        <v>0</v>
      </c>
      <c r="AE25" s="38">
        <f>IF(AQ25="7",BI25,0)</f>
        <v>0</v>
      </c>
      <c r="AF25" s="38">
        <f>IF(AQ25="2",BH25,0)</f>
        <v>0</v>
      </c>
      <c r="AG25" s="38">
        <f>IF(AQ25="2",BI25,0)</f>
        <v>0</v>
      </c>
      <c r="AH25" s="38">
        <f>IF(AQ25="0",BJ25,0)</f>
        <v>0</v>
      </c>
      <c r="AI25" s="30" t="s">
        <v>133</v>
      </c>
      <c r="AJ25" s="21">
        <f>IF(AN25=0,J25,0)</f>
        <v>0</v>
      </c>
      <c r="AK25" s="21">
        <f>IF(AN25=15,J25,0)</f>
        <v>0</v>
      </c>
      <c r="AL25" s="21">
        <f>IF(AN25=21,J25,0)</f>
        <v>0</v>
      </c>
      <c r="AN25" s="38">
        <v>15</v>
      </c>
      <c r="AO25" s="38">
        <f>G25*0</f>
        <v>0</v>
      </c>
      <c r="AP25" s="38">
        <f>G25*(1-0)</f>
        <v>0</v>
      </c>
      <c r="AQ25" s="34" t="s">
        <v>7</v>
      </c>
      <c r="AV25" s="38">
        <f>AW25+AX25</f>
        <v>0</v>
      </c>
      <c r="AW25" s="38">
        <f>F25*AO25</f>
        <v>0</v>
      </c>
      <c r="AX25" s="38">
        <f>F25*AP25</f>
        <v>0</v>
      </c>
      <c r="AY25" s="39" t="s">
        <v>542</v>
      </c>
      <c r="AZ25" s="39" t="s">
        <v>564</v>
      </c>
      <c r="BA25" s="30" t="s">
        <v>586</v>
      </c>
      <c r="BC25" s="38">
        <f>AW25+AX25</f>
        <v>0</v>
      </c>
      <c r="BD25" s="38">
        <f>G25/(100-BE25)*100</f>
        <v>0</v>
      </c>
      <c r="BE25" s="38">
        <v>0</v>
      </c>
      <c r="BF25" s="38">
        <f>L25</f>
        <v>0</v>
      </c>
      <c r="BH25" s="21">
        <f>F25*AO25</f>
        <v>0</v>
      </c>
      <c r="BI25" s="21">
        <f>F25*AP25</f>
        <v>0</v>
      </c>
      <c r="BJ25" s="21">
        <f>F25*G25</f>
        <v>0</v>
      </c>
    </row>
    <row r="26" spans="1:47" ht="12.75">
      <c r="A26" s="4"/>
      <c r="B26" s="14" t="s">
        <v>133</v>
      </c>
      <c r="C26" s="14" t="s">
        <v>37</v>
      </c>
      <c r="D26" s="121" t="s">
        <v>282</v>
      </c>
      <c r="E26" s="4" t="s">
        <v>6</v>
      </c>
      <c r="F26" s="4" t="s">
        <v>6</v>
      </c>
      <c r="G26" s="4" t="s">
        <v>6</v>
      </c>
      <c r="H26" s="41">
        <f>SUM(H27:H27)</f>
        <v>0</v>
      </c>
      <c r="I26" s="41">
        <f>SUM(I27:I27)</f>
        <v>0</v>
      </c>
      <c r="J26" s="41">
        <f>SUM(J27:J27)</f>
        <v>0</v>
      </c>
      <c r="K26" s="30"/>
      <c r="L26" s="41">
        <f>SUM(L27:L27)</f>
        <v>2.918568</v>
      </c>
      <c r="M26" s="30"/>
      <c r="AI26" s="30" t="s">
        <v>133</v>
      </c>
      <c r="AS26" s="41">
        <f>SUM(AJ27:AJ27)</f>
        <v>0</v>
      </c>
      <c r="AT26" s="41">
        <f>SUM(AK27:AK27)</f>
        <v>0</v>
      </c>
      <c r="AU26" s="41">
        <f>SUM(AL27:AL27)</f>
        <v>0</v>
      </c>
    </row>
    <row r="27" spans="1:62" ht="12.75">
      <c r="A27" s="5" t="s">
        <v>13</v>
      </c>
      <c r="B27" s="5" t="s">
        <v>133</v>
      </c>
      <c r="C27" s="5" t="s">
        <v>145</v>
      </c>
      <c r="D27" s="122" t="s">
        <v>283</v>
      </c>
      <c r="E27" s="5" t="s">
        <v>505</v>
      </c>
      <c r="F27" s="21">
        <v>2.4</v>
      </c>
      <c r="G27" s="21">
        <v>0</v>
      </c>
      <c r="H27" s="21">
        <f>F27*AO27</f>
        <v>0</v>
      </c>
      <c r="I27" s="21">
        <f>F27*AP27</f>
        <v>0</v>
      </c>
      <c r="J27" s="21">
        <f>F27*G27</f>
        <v>0</v>
      </c>
      <c r="K27" s="21">
        <v>1.21607</v>
      </c>
      <c r="L27" s="21">
        <f>F27*K27</f>
        <v>2.918568</v>
      </c>
      <c r="M27" s="34" t="s">
        <v>531</v>
      </c>
      <c r="Z27" s="38">
        <f>IF(AQ27="5",BJ27,0)</f>
        <v>0</v>
      </c>
      <c r="AB27" s="38">
        <f>IF(AQ27="1",BH27,0)</f>
        <v>0</v>
      </c>
      <c r="AC27" s="38">
        <f>IF(AQ27="1",BI27,0)</f>
        <v>0</v>
      </c>
      <c r="AD27" s="38">
        <f>IF(AQ27="7",BH27,0)</f>
        <v>0</v>
      </c>
      <c r="AE27" s="38">
        <f>IF(AQ27="7",BI27,0)</f>
        <v>0</v>
      </c>
      <c r="AF27" s="38">
        <f>IF(AQ27="2",BH27,0)</f>
        <v>0</v>
      </c>
      <c r="AG27" s="38">
        <f>IF(AQ27="2",BI27,0)</f>
        <v>0</v>
      </c>
      <c r="AH27" s="38">
        <f>IF(AQ27="0",BJ27,0)</f>
        <v>0</v>
      </c>
      <c r="AI27" s="30" t="s">
        <v>133</v>
      </c>
      <c r="AJ27" s="21">
        <f>IF(AN27=0,J27,0)</f>
        <v>0</v>
      </c>
      <c r="AK27" s="21">
        <f>IF(AN27=15,J27,0)</f>
        <v>0</v>
      </c>
      <c r="AL27" s="21">
        <f>IF(AN27=21,J27,0)</f>
        <v>0</v>
      </c>
      <c r="AN27" s="38">
        <v>15</v>
      </c>
      <c r="AO27" s="38">
        <f>G27*0.435447916666667</f>
        <v>0</v>
      </c>
      <c r="AP27" s="38">
        <f>G27*(1-0.435447916666667)</f>
        <v>0</v>
      </c>
      <c r="AQ27" s="34" t="s">
        <v>7</v>
      </c>
      <c r="AV27" s="38">
        <f>AW27+AX27</f>
        <v>0</v>
      </c>
      <c r="AW27" s="38">
        <f>F27*AO27</f>
        <v>0</v>
      </c>
      <c r="AX27" s="38">
        <f>F27*AP27</f>
        <v>0</v>
      </c>
      <c r="AY27" s="39" t="s">
        <v>543</v>
      </c>
      <c r="AZ27" s="39" t="s">
        <v>565</v>
      </c>
      <c r="BA27" s="30" t="s">
        <v>586</v>
      </c>
      <c r="BC27" s="38">
        <f>AW27+AX27</f>
        <v>0</v>
      </c>
      <c r="BD27" s="38">
        <f>G27/(100-BE27)*100</f>
        <v>0</v>
      </c>
      <c r="BE27" s="38">
        <v>0</v>
      </c>
      <c r="BF27" s="38">
        <f>L27</f>
        <v>2.918568</v>
      </c>
      <c r="BH27" s="21">
        <f>F27*AO27</f>
        <v>0</v>
      </c>
      <c r="BI27" s="21">
        <f>F27*AP27</f>
        <v>0</v>
      </c>
      <c r="BJ27" s="21">
        <f>F27*G27</f>
        <v>0</v>
      </c>
    </row>
    <row r="28" ht="12.75">
      <c r="D28" s="18" t="s">
        <v>284</v>
      </c>
    </row>
    <row r="29" spans="3:13" ht="12.75">
      <c r="C29" s="16" t="s">
        <v>131</v>
      </c>
      <c r="D29" s="85" t="s">
        <v>285</v>
      </c>
      <c r="E29" s="86"/>
      <c r="F29" s="86"/>
      <c r="G29" s="86"/>
      <c r="H29" s="86"/>
      <c r="I29" s="86"/>
      <c r="J29" s="86"/>
      <c r="K29" s="86"/>
      <c r="L29" s="86"/>
      <c r="M29" s="86"/>
    </row>
    <row r="30" spans="1:47" ht="25.5">
      <c r="A30" s="4"/>
      <c r="B30" s="14" t="s">
        <v>133</v>
      </c>
      <c r="C30" s="14" t="s">
        <v>146</v>
      </c>
      <c r="D30" s="121" t="s">
        <v>286</v>
      </c>
      <c r="E30" s="4" t="s">
        <v>6</v>
      </c>
      <c r="F30" s="4" t="s">
        <v>6</v>
      </c>
      <c r="G30" s="4" t="s">
        <v>6</v>
      </c>
      <c r="H30" s="41">
        <f>SUM(H31:H31)</f>
        <v>0</v>
      </c>
      <c r="I30" s="41">
        <f>SUM(I31:I31)</f>
        <v>0</v>
      </c>
      <c r="J30" s="41">
        <f>SUM(J31:J31)</f>
        <v>0</v>
      </c>
      <c r="K30" s="30"/>
      <c r="L30" s="41">
        <f>SUM(L31:L31)</f>
        <v>1.071966</v>
      </c>
      <c r="M30" s="30"/>
      <c r="AI30" s="30" t="s">
        <v>133</v>
      </c>
      <c r="AS30" s="41">
        <f>SUM(AJ31:AJ31)</f>
        <v>0</v>
      </c>
      <c r="AT30" s="41">
        <f>SUM(AK31:AK31)</f>
        <v>0</v>
      </c>
      <c r="AU30" s="41">
        <f>SUM(AL31:AL31)</f>
        <v>0</v>
      </c>
    </row>
    <row r="31" spans="1:62" ht="25.5">
      <c r="A31" s="5" t="s">
        <v>14</v>
      </c>
      <c r="B31" s="5" t="s">
        <v>133</v>
      </c>
      <c r="C31" s="5" t="s">
        <v>147</v>
      </c>
      <c r="D31" s="122" t="s">
        <v>287</v>
      </c>
      <c r="E31" s="5" t="s">
        <v>508</v>
      </c>
      <c r="F31" s="21">
        <v>1020.92</v>
      </c>
      <c r="G31" s="21">
        <v>0</v>
      </c>
      <c r="H31" s="21">
        <f>F31*AO31</f>
        <v>0</v>
      </c>
      <c r="I31" s="21">
        <f>F31*AP31</f>
        <v>0</v>
      </c>
      <c r="J31" s="21">
        <f>F31*G31</f>
        <v>0</v>
      </c>
      <c r="K31" s="21">
        <v>0.00105</v>
      </c>
      <c r="L31" s="21">
        <f>F31*K31</f>
        <v>1.071966</v>
      </c>
      <c r="M31" s="34" t="s">
        <v>531</v>
      </c>
      <c r="Z31" s="38">
        <f>IF(AQ31="5",BJ31,0)</f>
        <v>0</v>
      </c>
      <c r="AB31" s="38">
        <f>IF(AQ31="1",BH31,0)</f>
        <v>0</v>
      </c>
      <c r="AC31" s="38">
        <f>IF(AQ31="1",BI31,0)</f>
        <v>0</v>
      </c>
      <c r="AD31" s="38">
        <f>IF(AQ31="7",BH31,0)</f>
        <v>0</v>
      </c>
      <c r="AE31" s="38">
        <f>IF(AQ31="7",BI31,0)</f>
        <v>0</v>
      </c>
      <c r="AF31" s="38">
        <f>IF(AQ31="2",BH31,0)</f>
        <v>0</v>
      </c>
      <c r="AG31" s="38">
        <f>IF(AQ31="2",BI31,0)</f>
        <v>0</v>
      </c>
      <c r="AH31" s="38">
        <f>IF(AQ31="0",BJ31,0)</f>
        <v>0</v>
      </c>
      <c r="AI31" s="30" t="s">
        <v>133</v>
      </c>
      <c r="AJ31" s="21">
        <f>IF(AN31=0,J31,0)</f>
        <v>0</v>
      </c>
      <c r="AK31" s="21">
        <f>IF(AN31=15,J31,0)</f>
        <v>0</v>
      </c>
      <c r="AL31" s="21">
        <f>IF(AN31=21,J31,0)</f>
        <v>0</v>
      </c>
      <c r="AN31" s="38">
        <v>15</v>
      </c>
      <c r="AO31" s="38">
        <f>G31*0.290624466245275</f>
        <v>0</v>
      </c>
      <c r="AP31" s="38">
        <f>G31*(1-0.290624466245275)</f>
        <v>0</v>
      </c>
      <c r="AQ31" s="34" t="s">
        <v>13</v>
      </c>
      <c r="AV31" s="38">
        <f>AW31+AX31</f>
        <v>0</v>
      </c>
      <c r="AW31" s="38">
        <f>F31*AO31</f>
        <v>0</v>
      </c>
      <c r="AX31" s="38">
        <f>F31*AP31</f>
        <v>0</v>
      </c>
      <c r="AY31" s="39" t="s">
        <v>544</v>
      </c>
      <c r="AZ31" s="39" t="s">
        <v>566</v>
      </c>
      <c r="BA31" s="30" t="s">
        <v>586</v>
      </c>
      <c r="BC31" s="38">
        <f>AW31+AX31</f>
        <v>0</v>
      </c>
      <c r="BD31" s="38">
        <f>G31/(100-BE31)*100</f>
        <v>0</v>
      </c>
      <c r="BE31" s="38">
        <v>0</v>
      </c>
      <c r="BF31" s="38">
        <f>L31</f>
        <v>1.071966</v>
      </c>
      <c r="BH31" s="21">
        <f>F31*AO31</f>
        <v>0</v>
      </c>
      <c r="BI31" s="21">
        <f>F31*AP31</f>
        <v>0</v>
      </c>
      <c r="BJ31" s="21">
        <f>F31*G31</f>
        <v>0</v>
      </c>
    </row>
    <row r="32" spans="4:6" ht="12.75">
      <c r="D32" s="123" t="s">
        <v>288</v>
      </c>
      <c r="F32" s="22">
        <v>208</v>
      </c>
    </row>
    <row r="33" spans="4:6" ht="12.75">
      <c r="D33" s="123" t="s">
        <v>289</v>
      </c>
      <c r="F33" s="22">
        <v>80</v>
      </c>
    </row>
    <row r="34" spans="4:6" ht="12.75">
      <c r="D34" s="123" t="s">
        <v>290</v>
      </c>
      <c r="F34" s="22">
        <v>80</v>
      </c>
    </row>
    <row r="35" spans="4:6" ht="12.75">
      <c r="D35" s="123" t="s">
        <v>291</v>
      </c>
      <c r="F35" s="22">
        <v>507</v>
      </c>
    </row>
    <row r="36" spans="4:6" ht="12.75">
      <c r="D36" s="123" t="s">
        <v>292</v>
      </c>
      <c r="F36" s="22">
        <v>30</v>
      </c>
    </row>
    <row r="37" spans="4:6" ht="12.75">
      <c r="D37" s="123" t="s">
        <v>293</v>
      </c>
      <c r="F37" s="22">
        <v>115.92</v>
      </c>
    </row>
    <row r="38" spans="1:47" ht="12.75">
      <c r="A38" s="4"/>
      <c r="B38" s="14" t="s">
        <v>133</v>
      </c>
      <c r="C38" s="14" t="s">
        <v>102</v>
      </c>
      <c r="D38" s="121" t="s">
        <v>294</v>
      </c>
      <c r="E38" s="4" t="s">
        <v>6</v>
      </c>
      <c r="F38" s="4" t="s">
        <v>6</v>
      </c>
      <c r="G38" s="4" t="s">
        <v>6</v>
      </c>
      <c r="H38" s="41">
        <f>SUM(H39:H50)</f>
        <v>0</v>
      </c>
      <c r="I38" s="41">
        <f>SUM(I39:I50)</f>
        <v>0</v>
      </c>
      <c r="J38" s="41">
        <f>SUM(J39:J50)</f>
        <v>0</v>
      </c>
      <c r="K38" s="30"/>
      <c r="L38" s="41">
        <f>SUM(L39:L50)</f>
        <v>52.2636688</v>
      </c>
      <c r="M38" s="30"/>
      <c r="AI38" s="30" t="s">
        <v>133</v>
      </c>
      <c r="AS38" s="41">
        <f>SUM(AJ39:AJ50)</f>
        <v>0</v>
      </c>
      <c r="AT38" s="41">
        <f>SUM(AK39:AK50)</f>
        <v>0</v>
      </c>
      <c r="AU38" s="41">
        <f>SUM(AL39:AL50)</f>
        <v>0</v>
      </c>
    </row>
    <row r="39" spans="1:62" ht="12.75">
      <c r="A39" s="5" t="s">
        <v>15</v>
      </c>
      <c r="B39" s="5" t="s">
        <v>133</v>
      </c>
      <c r="C39" s="5" t="s">
        <v>148</v>
      </c>
      <c r="D39" s="122" t="s">
        <v>295</v>
      </c>
      <c r="E39" s="5" t="s">
        <v>507</v>
      </c>
      <c r="F39" s="21">
        <v>14</v>
      </c>
      <c r="G39" s="21">
        <v>0</v>
      </c>
      <c r="H39" s="21">
        <f>F39*AO39</f>
        <v>0</v>
      </c>
      <c r="I39" s="21">
        <f>F39*AP39</f>
        <v>0</v>
      </c>
      <c r="J39" s="21">
        <f>F39*G39</f>
        <v>0</v>
      </c>
      <c r="K39" s="21">
        <v>2.50112</v>
      </c>
      <c r="L39" s="21">
        <f>F39*K39</f>
        <v>35.015679999999996</v>
      </c>
      <c r="M39" s="34" t="s">
        <v>531</v>
      </c>
      <c r="Z39" s="38">
        <f>IF(AQ39="5",BJ39,0)</f>
        <v>0</v>
      </c>
      <c r="AB39" s="38">
        <f>IF(AQ39="1",BH39,0)</f>
        <v>0</v>
      </c>
      <c r="AC39" s="38">
        <f>IF(AQ39="1",BI39,0)</f>
        <v>0</v>
      </c>
      <c r="AD39" s="38">
        <f>IF(AQ39="7",BH39,0)</f>
        <v>0</v>
      </c>
      <c r="AE39" s="38">
        <f>IF(AQ39="7",BI39,0)</f>
        <v>0</v>
      </c>
      <c r="AF39" s="38">
        <f>IF(AQ39="2",BH39,0)</f>
        <v>0</v>
      </c>
      <c r="AG39" s="38">
        <f>IF(AQ39="2",BI39,0)</f>
        <v>0</v>
      </c>
      <c r="AH39" s="38">
        <f>IF(AQ39="0",BJ39,0)</f>
        <v>0</v>
      </c>
      <c r="AI39" s="30" t="s">
        <v>133</v>
      </c>
      <c r="AJ39" s="21">
        <f>IF(AN39=0,J39,0)</f>
        <v>0</v>
      </c>
      <c r="AK39" s="21">
        <f>IF(AN39=15,J39,0)</f>
        <v>0</v>
      </c>
      <c r="AL39" s="21">
        <f>IF(AN39=21,J39,0)</f>
        <v>0</v>
      </c>
      <c r="AN39" s="38">
        <v>15</v>
      </c>
      <c r="AO39" s="38">
        <f>G39*0.0066118698094903</f>
        <v>0</v>
      </c>
      <c r="AP39" s="38">
        <f>G39*(1-0.0066118698094903)</f>
        <v>0</v>
      </c>
      <c r="AQ39" s="34" t="s">
        <v>7</v>
      </c>
      <c r="AV39" s="38">
        <f>AW39+AX39</f>
        <v>0</v>
      </c>
      <c r="AW39" s="38">
        <f>F39*AO39</f>
        <v>0</v>
      </c>
      <c r="AX39" s="38">
        <f>F39*AP39</f>
        <v>0</v>
      </c>
      <c r="AY39" s="39" t="s">
        <v>545</v>
      </c>
      <c r="AZ39" s="39" t="s">
        <v>567</v>
      </c>
      <c r="BA39" s="30" t="s">
        <v>586</v>
      </c>
      <c r="BC39" s="38">
        <f>AW39+AX39</f>
        <v>0</v>
      </c>
      <c r="BD39" s="38">
        <f>G39/(100-BE39)*100</f>
        <v>0</v>
      </c>
      <c r="BE39" s="38">
        <v>0</v>
      </c>
      <c r="BF39" s="38">
        <f>L39</f>
        <v>35.015679999999996</v>
      </c>
      <c r="BH39" s="21">
        <f>F39*AO39</f>
        <v>0</v>
      </c>
      <c r="BI39" s="21">
        <f>F39*AP39</f>
        <v>0</v>
      </c>
      <c r="BJ39" s="21">
        <f>F39*G39</f>
        <v>0</v>
      </c>
    </row>
    <row r="40" spans="4:6" ht="25.5">
      <c r="D40" s="123" t="s">
        <v>296</v>
      </c>
      <c r="F40" s="22">
        <v>14</v>
      </c>
    </row>
    <row r="41" spans="1:62" ht="12.75">
      <c r="A41" s="5" t="s">
        <v>16</v>
      </c>
      <c r="B41" s="5" t="s">
        <v>133</v>
      </c>
      <c r="C41" s="5" t="s">
        <v>149</v>
      </c>
      <c r="D41" s="122" t="s">
        <v>297</v>
      </c>
      <c r="E41" s="5" t="s">
        <v>507</v>
      </c>
      <c r="F41" s="21">
        <v>3.36</v>
      </c>
      <c r="G41" s="21">
        <v>0</v>
      </c>
      <c r="H41" s="21">
        <f>F41*AO41</f>
        <v>0</v>
      </c>
      <c r="I41" s="21">
        <f>F41*AP41</f>
        <v>0</v>
      </c>
      <c r="J41" s="21">
        <f>F41*G41</f>
        <v>0</v>
      </c>
      <c r="K41" s="21">
        <v>2.50833</v>
      </c>
      <c r="L41" s="21">
        <f>F41*K41</f>
        <v>8.4279888</v>
      </c>
      <c r="M41" s="34" t="s">
        <v>531</v>
      </c>
      <c r="Z41" s="38">
        <f>IF(AQ41="5",BJ41,0)</f>
        <v>0</v>
      </c>
      <c r="AB41" s="38">
        <f>IF(AQ41="1",BH41,0)</f>
        <v>0</v>
      </c>
      <c r="AC41" s="38">
        <f>IF(AQ41="1",BI41,0)</f>
        <v>0</v>
      </c>
      <c r="AD41" s="38">
        <f>IF(AQ41="7",BH41,0)</f>
        <v>0</v>
      </c>
      <c r="AE41" s="38">
        <f>IF(AQ41="7",BI41,0)</f>
        <v>0</v>
      </c>
      <c r="AF41" s="38">
        <f>IF(AQ41="2",BH41,0)</f>
        <v>0</v>
      </c>
      <c r="AG41" s="38">
        <f>IF(AQ41="2",BI41,0)</f>
        <v>0</v>
      </c>
      <c r="AH41" s="38">
        <f>IF(AQ41="0",BJ41,0)</f>
        <v>0</v>
      </c>
      <c r="AI41" s="30" t="s">
        <v>133</v>
      </c>
      <c r="AJ41" s="21">
        <f>IF(AN41=0,J41,0)</f>
        <v>0</v>
      </c>
      <c r="AK41" s="21">
        <f>IF(AN41=15,J41,0)</f>
        <v>0</v>
      </c>
      <c r="AL41" s="21">
        <f>IF(AN41=21,J41,0)</f>
        <v>0</v>
      </c>
      <c r="AN41" s="38">
        <v>15</v>
      </c>
      <c r="AO41" s="38">
        <f>G41*0.0442117598602263</f>
        <v>0</v>
      </c>
      <c r="AP41" s="38">
        <f>G41*(1-0.0442117598602263)</f>
        <v>0</v>
      </c>
      <c r="AQ41" s="34" t="s">
        <v>7</v>
      </c>
      <c r="AV41" s="38">
        <f>AW41+AX41</f>
        <v>0</v>
      </c>
      <c r="AW41" s="38">
        <f>F41*AO41</f>
        <v>0</v>
      </c>
      <c r="AX41" s="38">
        <f>F41*AP41</f>
        <v>0</v>
      </c>
      <c r="AY41" s="39" t="s">
        <v>545</v>
      </c>
      <c r="AZ41" s="39" t="s">
        <v>567</v>
      </c>
      <c r="BA41" s="30" t="s">
        <v>586</v>
      </c>
      <c r="BC41" s="38">
        <f>AW41+AX41</f>
        <v>0</v>
      </c>
      <c r="BD41" s="38">
        <f>G41/(100-BE41)*100</f>
        <v>0</v>
      </c>
      <c r="BE41" s="38">
        <v>0</v>
      </c>
      <c r="BF41" s="38">
        <f>L41</f>
        <v>8.4279888</v>
      </c>
      <c r="BH41" s="21">
        <f>F41*AO41</f>
        <v>0</v>
      </c>
      <c r="BI41" s="21">
        <f>F41*AP41</f>
        <v>0</v>
      </c>
      <c r="BJ41" s="21">
        <f>F41*G41</f>
        <v>0</v>
      </c>
    </row>
    <row r="42" spans="4:6" ht="12.75">
      <c r="D42" s="123" t="s">
        <v>298</v>
      </c>
      <c r="F42" s="22">
        <v>3.36</v>
      </c>
    </row>
    <row r="43" spans="1:62" ht="12.75">
      <c r="A43" s="5" t="s">
        <v>17</v>
      </c>
      <c r="B43" s="5" t="s">
        <v>133</v>
      </c>
      <c r="C43" s="5" t="s">
        <v>150</v>
      </c>
      <c r="D43" s="122" t="s">
        <v>299</v>
      </c>
      <c r="E43" s="5" t="s">
        <v>507</v>
      </c>
      <c r="F43" s="21">
        <v>2.4</v>
      </c>
      <c r="G43" s="21">
        <v>0</v>
      </c>
      <c r="H43" s="21">
        <f>F43*AO43</f>
        <v>0</v>
      </c>
      <c r="I43" s="21">
        <f>F43*AP43</f>
        <v>0</v>
      </c>
      <c r="J43" s="21">
        <f>F43*G43</f>
        <v>0</v>
      </c>
      <c r="K43" s="21">
        <v>2.85</v>
      </c>
      <c r="L43" s="21">
        <f>F43*K43</f>
        <v>6.84</v>
      </c>
      <c r="M43" s="34" t="s">
        <v>531</v>
      </c>
      <c r="Z43" s="38">
        <f>IF(AQ43="5",BJ43,0)</f>
        <v>0</v>
      </c>
      <c r="AB43" s="38">
        <f>IF(AQ43="1",BH43,0)</f>
        <v>0</v>
      </c>
      <c r="AC43" s="38">
        <f>IF(AQ43="1",BI43,0)</f>
        <v>0</v>
      </c>
      <c r="AD43" s="38">
        <f>IF(AQ43="7",BH43,0)</f>
        <v>0</v>
      </c>
      <c r="AE43" s="38">
        <f>IF(AQ43="7",BI43,0)</f>
        <v>0</v>
      </c>
      <c r="AF43" s="38">
        <f>IF(AQ43="2",BH43,0)</f>
        <v>0</v>
      </c>
      <c r="AG43" s="38">
        <f>IF(AQ43="2",BI43,0)</f>
        <v>0</v>
      </c>
      <c r="AH43" s="38">
        <f>IF(AQ43="0",BJ43,0)</f>
        <v>0</v>
      </c>
      <c r="AI43" s="30" t="s">
        <v>133</v>
      </c>
      <c r="AJ43" s="21">
        <f>IF(AN43=0,J43,0)</f>
        <v>0</v>
      </c>
      <c r="AK43" s="21">
        <f>IF(AN43=15,J43,0)</f>
        <v>0</v>
      </c>
      <c r="AL43" s="21">
        <f>IF(AN43=21,J43,0)</f>
        <v>0</v>
      </c>
      <c r="AN43" s="38">
        <v>15</v>
      </c>
      <c r="AO43" s="38">
        <f>G43*0</f>
        <v>0</v>
      </c>
      <c r="AP43" s="38">
        <f>G43*(1-0)</f>
        <v>0</v>
      </c>
      <c r="AQ43" s="34" t="s">
        <v>7</v>
      </c>
      <c r="AV43" s="38">
        <f>AW43+AX43</f>
        <v>0</v>
      </c>
      <c r="AW43" s="38">
        <f>F43*AO43</f>
        <v>0</v>
      </c>
      <c r="AX43" s="38">
        <f>F43*AP43</f>
        <v>0</v>
      </c>
      <c r="AY43" s="39" t="s">
        <v>545</v>
      </c>
      <c r="AZ43" s="39" t="s">
        <v>567</v>
      </c>
      <c r="BA43" s="30" t="s">
        <v>586</v>
      </c>
      <c r="BC43" s="38">
        <f>AW43+AX43</f>
        <v>0</v>
      </c>
      <c r="BD43" s="38">
        <f>G43/(100-BE43)*100</f>
        <v>0</v>
      </c>
      <c r="BE43" s="38">
        <v>0</v>
      </c>
      <c r="BF43" s="38">
        <f>L43</f>
        <v>6.84</v>
      </c>
      <c r="BH43" s="21">
        <f>F43*AO43</f>
        <v>0</v>
      </c>
      <c r="BI43" s="21">
        <f>F43*AP43</f>
        <v>0</v>
      </c>
      <c r="BJ43" s="21">
        <f>F43*G43</f>
        <v>0</v>
      </c>
    </row>
    <row r="44" spans="4:6" ht="12.75">
      <c r="D44" s="123" t="s">
        <v>300</v>
      </c>
      <c r="F44" s="22">
        <v>2.4</v>
      </c>
    </row>
    <row r="45" spans="1:62" ht="25.5">
      <c r="A45" s="5" t="s">
        <v>18</v>
      </c>
      <c r="B45" s="5" t="s">
        <v>133</v>
      </c>
      <c r="C45" s="5" t="s">
        <v>151</v>
      </c>
      <c r="D45" s="122" t="s">
        <v>301</v>
      </c>
      <c r="E45" s="5" t="s">
        <v>507</v>
      </c>
      <c r="F45" s="21">
        <v>0.9</v>
      </c>
      <c r="G45" s="21">
        <v>0</v>
      </c>
      <c r="H45" s="21">
        <f>F45*AO45</f>
        <v>0</v>
      </c>
      <c r="I45" s="21">
        <f>F45*AP45</f>
        <v>0</v>
      </c>
      <c r="J45" s="21">
        <f>F45*G45</f>
        <v>0</v>
      </c>
      <c r="K45" s="21">
        <v>2.2</v>
      </c>
      <c r="L45" s="21">
        <f>F45*K45</f>
        <v>1.9800000000000002</v>
      </c>
      <c r="M45" s="34" t="s">
        <v>531</v>
      </c>
      <c r="Z45" s="38">
        <f>IF(AQ45="5",BJ45,0)</f>
        <v>0</v>
      </c>
      <c r="AB45" s="38">
        <f>IF(AQ45="1",BH45,0)</f>
        <v>0</v>
      </c>
      <c r="AC45" s="38">
        <f>IF(AQ45="1",BI45,0)</f>
        <v>0</v>
      </c>
      <c r="AD45" s="38">
        <f>IF(AQ45="7",BH45,0)</f>
        <v>0</v>
      </c>
      <c r="AE45" s="38">
        <f>IF(AQ45="7",BI45,0)</f>
        <v>0</v>
      </c>
      <c r="AF45" s="38">
        <f>IF(AQ45="2",BH45,0)</f>
        <v>0</v>
      </c>
      <c r="AG45" s="38">
        <f>IF(AQ45="2",BI45,0)</f>
        <v>0</v>
      </c>
      <c r="AH45" s="38">
        <f>IF(AQ45="0",BJ45,0)</f>
        <v>0</v>
      </c>
      <c r="AI45" s="30" t="s">
        <v>133</v>
      </c>
      <c r="AJ45" s="21">
        <f>IF(AN45=0,J45,0)</f>
        <v>0</v>
      </c>
      <c r="AK45" s="21">
        <f>IF(AN45=15,J45,0)</f>
        <v>0</v>
      </c>
      <c r="AL45" s="21">
        <f>IF(AN45=21,J45,0)</f>
        <v>0</v>
      </c>
      <c r="AN45" s="38">
        <v>15</v>
      </c>
      <c r="AO45" s="38">
        <f>G45*0</f>
        <v>0</v>
      </c>
      <c r="AP45" s="38">
        <f>G45*(1-0)</f>
        <v>0</v>
      </c>
      <c r="AQ45" s="34" t="s">
        <v>7</v>
      </c>
      <c r="AV45" s="38">
        <f>AW45+AX45</f>
        <v>0</v>
      </c>
      <c r="AW45" s="38">
        <f>F45*AO45</f>
        <v>0</v>
      </c>
      <c r="AX45" s="38">
        <f>F45*AP45</f>
        <v>0</v>
      </c>
      <c r="AY45" s="39" t="s">
        <v>545</v>
      </c>
      <c r="AZ45" s="39" t="s">
        <v>567</v>
      </c>
      <c r="BA45" s="30" t="s">
        <v>586</v>
      </c>
      <c r="BC45" s="38">
        <f>AW45+AX45</f>
        <v>0</v>
      </c>
      <c r="BD45" s="38">
        <f>G45/(100-BE45)*100</f>
        <v>0</v>
      </c>
      <c r="BE45" s="38">
        <v>0</v>
      </c>
      <c r="BF45" s="38">
        <f>L45</f>
        <v>1.9800000000000002</v>
      </c>
      <c r="BH45" s="21">
        <f>F45*AO45</f>
        <v>0</v>
      </c>
      <c r="BI45" s="21">
        <f>F45*AP45</f>
        <v>0</v>
      </c>
      <c r="BJ45" s="21">
        <f>F45*G45</f>
        <v>0</v>
      </c>
    </row>
    <row r="46" spans="4:6" ht="12.75">
      <c r="D46" s="123" t="s">
        <v>302</v>
      </c>
      <c r="F46" s="22">
        <v>0.9</v>
      </c>
    </row>
    <row r="47" spans="1:62" ht="12.75">
      <c r="A47" s="5" t="s">
        <v>19</v>
      </c>
      <c r="B47" s="5" t="s">
        <v>133</v>
      </c>
      <c r="C47" s="5" t="s">
        <v>152</v>
      </c>
      <c r="D47" s="122" t="s">
        <v>303</v>
      </c>
      <c r="E47" s="5" t="s">
        <v>509</v>
      </c>
      <c r="F47" s="21">
        <v>123.5582</v>
      </c>
      <c r="G47" s="21">
        <v>0</v>
      </c>
      <c r="H47" s="21">
        <f>F47*AO47</f>
        <v>0</v>
      </c>
      <c r="I47" s="21">
        <f>F47*AP47</f>
        <v>0</v>
      </c>
      <c r="J47" s="21">
        <f>F47*G47</f>
        <v>0</v>
      </c>
      <c r="K47" s="21">
        <v>0</v>
      </c>
      <c r="L47" s="21">
        <f>F47*K47</f>
        <v>0</v>
      </c>
      <c r="M47" s="34" t="s">
        <v>531</v>
      </c>
      <c r="Z47" s="38">
        <f>IF(AQ47="5",BJ47,0)</f>
        <v>0</v>
      </c>
      <c r="AB47" s="38">
        <f>IF(AQ47="1",BH47,0)</f>
        <v>0</v>
      </c>
      <c r="AC47" s="38">
        <f>IF(AQ47="1",BI47,0)</f>
        <v>0</v>
      </c>
      <c r="AD47" s="38">
        <f>IF(AQ47="7",BH47,0)</f>
        <v>0</v>
      </c>
      <c r="AE47" s="38">
        <f>IF(AQ47="7",BI47,0)</f>
        <v>0</v>
      </c>
      <c r="AF47" s="38">
        <f>IF(AQ47="2",BH47,0)</f>
        <v>0</v>
      </c>
      <c r="AG47" s="38">
        <f>IF(AQ47="2",BI47,0)</f>
        <v>0</v>
      </c>
      <c r="AH47" s="38">
        <f>IF(AQ47="0",BJ47,0)</f>
        <v>0</v>
      </c>
      <c r="AI47" s="30" t="s">
        <v>133</v>
      </c>
      <c r="AJ47" s="21">
        <f>IF(AN47=0,J47,0)</f>
        <v>0</v>
      </c>
      <c r="AK47" s="21">
        <f>IF(AN47=15,J47,0)</f>
        <v>0</v>
      </c>
      <c r="AL47" s="21">
        <f>IF(AN47=21,J47,0)</f>
        <v>0</v>
      </c>
      <c r="AN47" s="38">
        <v>15</v>
      </c>
      <c r="AO47" s="38">
        <f>G47*0</f>
        <v>0</v>
      </c>
      <c r="AP47" s="38">
        <f>G47*(1-0)</f>
        <v>0</v>
      </c>
      <c r="AQ47" s="34" t="s">
        <v>11</v>
      </c>
      <c r="AV47" s="38">
        <f>AW47+AX47</f>
        <v>0</v>
      </c>
      <c r="AW47" s="38">
        <f>F47*AO47</f>
        <v>0</v>
      </c>
      <c r="AX47" s="38">
        <f>F47*AP47</f>
        <v>0</v>
      </c>
      <c r="AY47" s="39" t="s">
        <v>545</v>
      </c>
      <c r="AZ47" s="39" t="s">
        <v>567</v>
      </c>
      <c r="BA47" s="30" t="s">
        <v>586</v>
      </c>
      <c r="BC47" s="38">
        <f>AW47+AX47</f>
        <v>0</v>
      </c>
      <c r="BD47" s="38">
        <f>G47/(100-BE47)*100</f>
        <v>0</v>
      </c>
      <c r="BE47" s="38">
        <v>0</v>
      </c>
      <c r="BF47" s="38">
        <f>L47</f>
        <v>0</v>
      </c>
      <c r="BH47" s="21">
        <f>F47*AO47</f>
        <v>0</v>
      </c>
      <c r="BI47" s="21">
        <f>F47*AP47</f>
        <v>0</v>
      </c>
      <c r="BJ47" s="21">
        <f>F47*G47</f>
        <v>0</v>
      </c>
    </row>
    <row r="48" ht="12.75">
      <c r="D48" s="18" t="s">
        <v>304</v>
      </c>
    </row>
    <row r="49" spans="1:62" ht="12.75">
      <c r="A49" s="5" t="s">
        <v>20</v>
      </c>
      <c r="B49" s="5" t="s">
        <v>133</v>
      </c>
      <c r="C49" s="5" t="s">
        <v>153</v>
      </c>
      <c r="D49" s="122" t="s">
        <v>305</v>
      </c>
      <c r="E49" s="5" t="s">
        <v>509</v>
      </c>
      <c r="F49" s="21">
        <v>123.45</v>
      </c>
      <c r="G49" s="21">
        <v>0</v>
      </c>
      <c r="H49" s="21">
        <f>F49*AO49</f>
        <v>0</v>
      </c>
      <c r="I49" s="21">
        <f>F49*AP49</f>
        <v>0</v>
      </c>
      <c r="J49" s="21">
        <f>F49*G49</f>
        <v>0</v>
      </c>
      <c r="K49" s="21">
        <v>0</v>
      </c>
      <c r="L49" s="21">
        <f>F49*K49</f>
        <v>0</v>
      </c>
      <c r="M49" s="34" t="s">
        <v>531</v>
      </c>
      <c r="Z49" s="38">
        <f>IF(AQ49="5",BJ49,0)</f>
        <v>0</v>
      </c>
      <c r="AB49" s="38">
        <f>IF(AQ49="1",BH49,0)</f>
        <v>0</v>
      </c>
      <c r="AC49" s="38">
        <f>IF(AQ49="1",BI49,0)</f>
        <v>0</v>
      </c>
      <c r="AD49" s="38">
        <f>IF(AQ49="7",BH49,0)</f>
        <v>0</v>
      </c>
      <c r="AE49" s="38">
        <f>IF(AQ49="7",BI49,0)</f>
        <v>0</v>
      </c>
      <c r="AF49" s="38">
        <f>IF(AQ49="2",BH49,0)</f>
        <v>0</v>
      </c>
      <c r="AG49" s="38">
        <f>IF(AQ49="2",BI49,0)</f>
        <v>0</v>
      </c>
      <c r="AH49" s="38">
        <f>IF(AQ49="0",BJ49,0)</f>
        <v>0</v>
      </c>
      <c r="AI49" s="30" t="s">
        <v>133</v>
      </c>
      <c r="AJ49" s="21">
        <f>IF(AN49=0,J49,0)</f>
        <v>0</v>
      </c>
      <c r="AK49" s="21">
        <f>IF(AN49=15,J49,0)</f>
        <v>0</v>
      </c>
      <c r="AL49" s="21">
        <f>IF(AN49=21,J49,0)</f>
        <v>0</v>
      </c>
      <c r="AN49" s="38">
        <v>15</v>
      </c>
      <c r="AO49" s="38">
        <f>G49*0</f>
        <v>0</v>
      </c>
      <c r="AP49" s="38">
        <f>G49*(1-0)</f>
        <v>0</v>
      </c>
      <c r="AQ49" s="34" t="s">
        <v>11</v>
      </c>
      <c r="AV49" s="38">
        <f>AW49+AX49</f>
        <v>0</v>
      </c>
      <c r="AW49" s="38">
        <f>F49*AO49</f>
        <v>0</v>
      </c>
      <c r="AX49" s="38">
        <f>F49*AP49</f>
        <v>0</v>
      </c>
      <c r="AY49" s="39" t="s">
        <v>545</v>
      </c>
      <c r="AZ49" s="39" t="s">
        <v>567</v>
      </c>
      <c r="BA49" s="30" t="s">
        <v>586</v>
      </c>
      <c r="BC49" s="38">
        <f>AW49+AX49</f>
        <v>0</v>
      </c>
      <c r="BD49" s="38">
        <f>G49/(100-BE49)*100</f>
        <v>0</v>
      </c>
      <c r="BE49" s="38">
        <v>0</v>
      </c>
      <c r="BF49" s="38">
        <f>L49</f>
        <v>0</v>
      </c>
      <c r="BH49" s="21">
        <f>F49*AO49</f>
        <v>0</v>
      </c>
      <c r="BI49" s="21">
        <f>F49*AP49</f>
        <v>0</v>
      </c>
      <c r="BJ49" s="21">
        <f>F49*G49</f>
        <v>0</v>
      </c>
    </row>
    <row r="50" spans="1:62" ht="25.5">
      <c r="A50" s="5" t="s">
        <v>21</v>
      </c>
      <c r="B50" s="5" t="s">
        <v>133</v>
      </c>
      <c r="C50" s="5" t="s">
        <v>154</v>
      </c>
      <c r="D50" s="122" t="s">
        <v>306</v>
      </c>
      <c r="E50" s="5" t="s">
        <v>509</v>
      </c>
      <c r="F50" s="21">
        <v>123.5582</v>
      </c>
      <c r="G50" s="21">
        <v>0</v>
      </c>
      <c r="H50" s="21">
        <f>F50*AO50</f>
        <v>0</v>
      </c>
      <c r="I50" s="21">
        <f>F50*AP50</f>
        <v>0</v>
      </c>
      <c r="J50" s="21">
        <f>F50*G50</f>
        <v>0</v>
      </c>
      <c r="K50" s="21">
        <v>0</v>
      </c>
      <c r="L50" s="21">
        <f>F50*K50</f>
        <v>0</v>
      </c>
      <c r="M50" s="34" t="s">
        <v>531</v>
      </c>
      <c r="Z50" s="38">
        <f>IF(AQ50="5",BJ50,0)</f>
        <v>0</v>
      </c>
      <c r="AB50" s="38">
        <f>IF(AQ50="1",BH50,0)</f>
        <v>0</v>
      </c>
      <c r="AC50" s="38">
        <f>IF(AQ50="1",BI50,0)</f>
        <v>0</v>
      </c>
      <c r="AD50" s="38">
        <f>IF(AQ50="7",BH50,0)</f>
        <v>0</v>
      </c>
      <c r="AE50" s="38">
        <f>IF(AQ50="7",BI50,0)</f>
        <v>0</v>
      </c>
      <c r="AF50" s="38">
        <f>IF(AQ50="2",BH50,0)</f>
        <v>0</v>
      </c>
      <c r="AG50" s="38">
        <f>IF(AQ50="2",BI50,0)</f>
        <v>0</v>
      </c>
      <c r="AH50" s="38">
        <f>IF(AQ50="0",BJ50,0)</f>
        <v>0</v>
      </c>
      <c r="AI50" s="30" t="s">
        <v>133</v>
      </c>
      <c r="AJ50" s="21">
        <f>IF(AN50=0,J50,0)</f>
        <v>0</v>
      </c>
      <c r="AK50" s="21">
        <f>IF(AN50=15,J50,0)</f>
        <v>0</v>
      </c>
      <c r="AL50" s="21">
        <f>IF(AN50=21,J50,0)</f>
        <v>0</v>
      </c>
      <c r="AN50" s="38">
        <v>15</v>
      </c>
      <c r="AO50" s="38">
        <f>G50*0</f>
        <v>0</v>
      </c>
      <c r="AP50" s="38">
        <f>G50*(1-0)</f>
        <v>0</v>
      </c>
      <c r="AQ50" s="34" t="s">
        <v>11</v>
      </c>
      <c r="AV50" s="38">
        <f>AW50+AX50</f>
        <v>0</v>
      </c>
      <c r="AW50" s="38">
        <f>F50*AO50</f>
        <v>0</v>
      </c>
      <c r="AX50" s="38">
        <f>F50*AP50</f>
        <v>0</v>
      </c>
      <c r="AY50" s="39" t="s">
        <v>545</v>
      </c>
      <c r="AZ50" s="39" t="s">
        <v>567</v>
      </c>
      <c r="BA50" s="30" t="s">
        <v>586</v>
      </c>
      <c r="BC50" s="38">
        <f>AW50+AX50</f>
        <v>0</v>
      </c>
      <c r="BD50" s="38">
        <f>G50/(100-BE50)*100</f>
        <v>0</v>
      </c>
      <c r="BE50" s="38">
        <v>0</v>
      </c>
      <c r="BF50" s="38">
        <f>L50</f>
        <v>0</v>
      </c>
      <c r="BH50" s="21">
        <f>F50*AO50</f>
        <v>0</v>
      </c>
      <c r="BI50" s="21">
        <f>F50*AP50</f>
        <v>0</v>
      </c>
      <c r="BJ50" s="21">
        <f>F50*G50</f>
        <v>0</v>
      </c>
    </row>
    <row r="51" spans="4:6" ht="12.75">
      <c r="D51" s="123" t="s">
        <v>307</v>
      </c>
      <c r="F51" s="22">
        <v>493.8</v>
      </c>
    </row>
    <row r="52" spans="1:13" ht="12.75">
      <c r="A52" s="6"/>
      <c r="B52" s="15" t="s">
        <v>134</v>
      </c>
      <c r="C52" s="15"/>
      <c r="D52" s="124" t="s">
        <v>308</v>
      </c>
      <c r="E52" s="6" t="s">
        <v>6</v>
      </c>
      <c r="F52" s="6" t="s">
        <v>6</v>
      </c>
      <c r="G52" s="6" t="s">
        <v>6</v>
      </c>
      <c r="H52" s="42">
        <f>H53+H58+H63+H68+H73</f>
        <v>0</v>
      </c>
      <c r="I52" s="42">
        <f>I53+I58+I63+I68+I73</f>
        <v>0</v>
      </c>
      <c r="J52" s="42">
        <f>J53+J58+J63+J68+J73</f>
        <v>0</v>
      </c>
      <c r="K52" s="31"/>
      <c r="L52" s="42">
        <f>L53+L58+L63+L68+L73</f>
        <v>35.74717</v>
      </c>
      <c r="M52" s="31"/>
    </row>
    <row r="53" spans="1:47" ht="12.75">
      <c r="A53" s="4"/>
      <c r="B53" s="14" t="s">
        <v>134</v>
      </c>
      <c r="C53" s="14" t="s">
        <v>18</v>
      </c>
      <c r="D53" s="121" t="s">
        <v>309</v>
      </c>
      <c r="E53" s="4" t="s">
        <v>6</v>
      </c>
      <c r="F53" s="4" t="s">
        <v>6</v>
      </c>
      <c r="G53" s="4" t="s">
        <v>6</v>
      </c>
      <c r="H53" s="41">
        <f>SUM(H54:H54)</f>
        <v>0</v>
      </c>
      <c r="I53" s="41">
        <f>SUM(I54:I54)</f>
        <v>0</v>
      </c>
      <c r="J53" s="41">
        <f>SUM(J54:J54)</f>
        <v>0</v>
      </c>
      <c r="K53" s="30"/>
      <c r="L53" s="41">
        <f>SUM(L54:L54)</f>
        <v>0</v>
      </c>
      <c r="M53" s="30"/>
      <c r="AI53" s="30" t="s">
        <v>134</v>
      </c>
      <c r="AS53" s="41">
        <f>SUM(AJ54:AJ54)</f>
        <v>0</v>
      </c>
      <c r="AT53" s="41">
        <f>SUM(AK54:AK54)</f>
        <v>0</v>
      </c>
      <c r="AU53" s="41">
        <f>SUM(AL54:AL54)</f>
        <v>0</v>
      </c>
    </row>
    <row r="54" spans="1:62" ht="12.75">
      <c r="A54" s="5" t="s">
        <v>22</v>
      </c>
      <c r="B54" s="5" t="s">
        <v>134</v>
      </c>
      <c r="C54" s="5" t="s">
        <v>155</v>
      </c>
      <c r="D54" s="122" t="s">
        <v>310</v>
      </c>
      <c r="E54" s="5" t="s">
        <v>507</v>
      </c>
      <c r="F54" s="21">
        <v>15.6</v>
      </c>
      <c r="G54" s="21">
        <v>0</v>
      </c>
      <c r="H54" s="21">
        <f>F54*AO54</f>
        <v>0</v>
      </c>
      <c r="I54" s="21">
        <f>F54*AP54</f>
        <v>0</v>
      </c>
      <c r="J54" s="21">
        <f>F54*G54</f>
        <v>0</v>
      </c>
      <c r="K54" s="21">
        <v>0</v>
      </c>
      <c r="L54" s="21">
        <f>F54*K54</f>
        <v>0</v>
      </c>
      <c r="M54" s="34" t="s">
        <v>531</v>
      </c>
      <c r="Z54" s="38">
        <f>IF(AQ54="5",BJ54,0)</f>
        <v>0</v>
      </c>
      <c r="AB54" s="38">
        <f>IF(AQ54="1",BH54,0)</f>
        <v>0</v>
      </c>
      <c r="AC54" s="38">
        <f>IF(AQ54="1",BI54,0)</f>
        <v>0</v>
      </c>
      <c r="AD54" s="38">
        <f>IF(AQ54="7",BH54,0)</f>
        <v>0</v>
      </c>
      <c r="AE54" s="38">
        <f>IF(AQ54="7",BI54,0)</f>
        <v>0</v>
      </c>
      <c r="AF54" s="38">
        <f>IF(AQ54="2",BH54,0)</f>
        <v>0</v>
      </c>
      <c r="AG54" s="38">
        <f>IF(AQ54="2",BI54,0)</f>
        <v>0</v>
      </c>
      <c r="AH54" s="38">
        <f>IF(AQ54="0",BJ54,0)</f>
        <v>0</v>
      </c>
      <c r="AI54" s="30" t="s">
        <v>134</v>
      </c>
      <c r="AJ54" s="21">
        <f>IF(AN54=0,J54,0)</f>
        <v>0</v>
      </c>
      <c r="AK54" s="21">
        <f>IF(AN54=15,J54,0)</f>
        <v>0</v>
      </c>
      <c r="AL54" s="21">
        <f>IF(AN54=21,J54,0)</f>
        <v>0</v>
      </c>
      <c r="AN54" s="38">
        <v>15</v>
      </c>
      <c r="AO54" s="38">
        <f>G54*0</f>
        <v>0</v>
      </c>
      <c r="AP54" s="38">
        <f>G54*(1-0)</f>
        <v>0</v>
      </c>
      <c r="AQ54" s="34" t="s">
        <v>7</v>
      </c>
      <c r="AV54" s="38">
        <f>AW54+AX54</f>
        <v>0</v>
      </c>
      <c r="AW54" s="38">
        <f>F54*AO54</f>
        <v>0</v>
      </c>
      <c r="AX54" s="38">
        <f>F54*AP54</f>
        <v>0</v>
      </c>
      <c r="AY54" s="39" t="s">
        <v>546</v>
      </c>
      <c r="AZ54" s="39" t="s">
        <v>568</v>
      </c>
      <c r="BA54" s="30" t="s">
        <v>587</v>
      </c>
      <c r="BC54" s="38">
        <f>AW54+AX54</f>
        <v>0</v>
      </c>
      <c r="BD54" s="38">
        <f>G54/(100-BE54)*100</f>
        <v>0</v>
      </c>
      <c r="BE54" s="38">
        <v>0</v>
      </c>
      <c r="BF54" s="38">
        <f>L54</f>
        <v>0</v>
      </c>
      <c r="BH54" s="21">
        <f>F54*AO54</f>
        <v>0</v>
      </c>
      <c r="BI54" s="21">
        <f>F54*AP54</f>
        <v>0</v>
      </c>
      <c r="BJ54" s="21">
        <f>F54*G54</f>
        <v>0</v>
      </c>
    </row>
    <row r="55" spans="4:6" ht="12.75">
      <c r="D55" s="123" t="s">
        <v>311</v>
      </c>
      <c r="F55" s="22">
        <v>4.8</v>
      </c>
    </row>
    <row r="56" spans="4:6" ht="12.75">
      <c r="D56" s="123" t="s">
        <v>312</v>
      </c>
      <c r="F56" s="22">
        <v>3</v>
      </c>
    </row>
    <row r="57" spans="4:6" ht="12.75">
      <c r="D57" s="123" t="s">
        <v>313</v>
      </c>
      <c r="F57" s="22">
        <v>7.8</v>
      </c>
    </row>
    <row r="58" spans="1:47" ht="12.75">
      <c r="A58" s="4"/>
      <c r="B58" s="14" t="s">
        <v>134</v>
      </c>
      <c r="C58" s="14" t="s">
        <v>24</v>
      </c>
      <c r="D58" s="121" t="s">
        <v>314</v>
      </c>
      <c r="E58" s="4" t="s">
        <v>6</v>
      </c>
      <c r="F58" s="4" t="s">
        <v>6</v>
      </c>
      <c r="G58" s="4" t="s">
        <v>6</v>
      </c>
      <c r="H58" s="41">
        <f>SUM(H59:H59)</f>
        <v>0</v>
      </c>
      <c r="I58" s="41">
        <f>SUM(I59:I59)</f>
        <v>0</v>
      </c>
      <c r="J58" s="41">
        <f>SUM(J59:J59)</f>
        <v>0</v>
      </c>
      <c r="K58" s="30"/>
      <c r="L58" s="41">
        <f>SUM(L59:L59)</f>
        <v>0</v>
      </c>
      <c r="M58" s="30"/>
      <c r="AI58" s="30" t="s">
        <v>134</v>
      </c>
      <c r="AS58" s="41">
        <f>SUM(AJ59:AJ59)</f>
        <v>0</v>
      </c>
      <c r="AT58" s="41">
        <f>SUM(AK59:AK59)</f>
        <v>0</v>
      </c>
      <c r="AU58" s="41">
        <f>SUM(AL59:AL59)</f>
        <v>0</v>
      </c>
    </row>
    <row r="59" spans="1:62" ht="25.5">
      <c r="A59" s="5" t="s">
        <v>23</v>
      </c>
      <c r="B59" s="5" t="s">
        <v>134</v>
      </c>
      <c r="C59" s="5" t="s">
        <v>156</v>
      </c>
      <c r="D59" s="122" t="s">
        <v>315</v>
      </c>
      <c r="E59" s="5" t="s">
        <v>505</v>
      </c>
      <c r="F59" s="21">
        <v>52</v>
      </c>
      <c r="G59" s="21">
        <v>0</v>
      </c>
      <c r="H59" s="21">
        <f>F59*AO59</f>
        <v>0</v>
      </c>
      <c r="I59" s="21">
        <f>F59*AP59</f>
        <v>0</v>
      </c>
      <c r="J59" s="21">
        <f>F59*G59</f>
        <v>0</v>
      </c>
      <c r="K59" s="21">
        <v>0</v>
      </c>
      <c r="L59" s="21">
        <f>F59*K59</f>
        <v>0</v>
      </c>
      <c r="M59" s="34" t="s">
        <v>531</v>
      </c>
      <c r="Z59" s="38">
        <f>IF(AQ59="5",BJ59,0)</f>
        <v>0</v>
      </c>
      <c r="AB59" s="38">
        <f>IF(AQ59="1",BH59,0)</f>
        <v>0</v>
      </c>
      <c r="AC59" s="38">
        <f>IF(AQ59="1",BI59,0)</f>
        <v>0</v>
      </c>
      <c r="AD59" s="38">
        <f>IF(AQ59="7",BH59,0)</f>
        <v>0</v>
      </c>
      <c r="AE59" s="38">
        <f>IF(AQ59="7",BI59,0)</f>
        <v>0</v>
      </c>
      <c r="AF59" s="38">
        <f>IF(AQ59="2",BH59,0)</f>
        <v>0</v>
      </c>
      <c r="AG59" s="38">
        <f>IF(AQ59="2",BI59,0)</f>
        <v>0</v>
      </c>
      <c r="AH59" s="38">
        <f>IF(AQ59="0",BJ59,0)</f>
        <v>0</v>
      </c>
      <c r="AI59" s="30" t="s">
        <v>134</v>
      </c>
      <c r="AJ59" s="21">
        <f>IF(AN59=0,J59,0)</f>
        <v>0</v>
      </c>
      <c r="AK59" s="21">
        <f>IF(AN59=15,J59,0)</f>
        <v>0</v>
      </c>
      <c r="AL59" s="21">
        <f>IF(AN59=21,J59,0)</f>
        <v>0</v>
      </c>
      <c r="AN59" s="38">
        <v>15</v>
      </c>
      <c r="AO59" s="38">
        <f>G59*0</f>
        <v>0</v>
      </c>
      <c r="AP59" s="38">
        <f>G59*(1-0)</f>
        <v>0</v>
      </c>
      <c r="AQ59" s="34" t="s">
        <v>7</v>
      </c>
      <c r="AV59" s="38">
        <f>AW59+AX59</f>
        <v>0</v>
      </c>
      <c r="AW59" s="38">
        <f>F59*AO59</f>
        <v>0</v>
      </c>
      <c r="AX59" s="38">
        <f>F59*AP59</f>
        <v>0</v>
      </c>
      <c r="AY59" s="39" t="s">
        <v>547</v>
      </c>
      <c r="AZ59" s="39" t="s">
        <v>568</v>
      </c>
      <c r="BA59" s="30" t="s">
        <v>587</v>
      </c>
      <c r="BC59" s="38">
        <f>AW59+AX59</f>
        <v>0</v>
      </c>
      <c r="BD59" s="38">
        <f>G59/(100-BE59)*100</f>
        <v>0</v>
      </c>
      <c r="BE59" s="38">
        <v>0</v>
      </c>
      <c r="BF59" s="38">
        <f>L59</f>
        <v>0</v>
      </c>
      <c r="BH59" s="21">
        <f>F59*AO59</f>
        <v>0</v>
      </c>
      <c r="BI59" s="21">
        <f>F59*AP59</f>
        <v>0</v>
      </c>
      <c r="BJ59" s="21">
        <f>F59*G59</f>
        <v>0</v>
      </c>
    </row>
    <row r="60" spans="4:6" ht="12.75">
      <c r="D60" s="123" t="s">
        <v>316</v>
      </c>
      <c r="F60" s="22">
        <v>16</v>
      </c>
    </row>
    <row r="61" spans="4:6" ht="12.75">
      <c r="D61" s="123" t="s">
        <v>317</v>
      </c>
      <c r="F61" s="22">
        <v>10</v>
      </c>
    </row>
    <row r="62" spans="4:6" ht="12.75">
      <c r="D62" s="123" t="s">
        <v>318</v>
      </c>
      <c r="F62" s="22">
        <v>26</v>
      </c>
    </row>
    <row r="63" spans="1:47" ht="25.5">
      <c r="A63" s="4"/>
      <c r="B63" s="14" t="s">
        <v>134</v>
      </c>
      <c r="C63" s="14" t="s">
        <v>51</v>
      </c>
      <c r="D63" s="121" t="s">
        <v>319</v>
      </c>
      <c r="E63" s="4" t="s">
        <v>6</v>
      </c>
      <c r="F63" s="4" t="s">
        <v>6</v>
      </c>
      <c r="G63" s="4" t="s">
        <v>6</v>
      </c>
      <c r="H63" s="41">
        <f>SUM(H64:H64)</f>
        <v>0</v>
      </c>
      <c r="I63" s="41">
        <f>SUM(I64:I64)</f>
        <v>0</v>
      </c>
      <c r="J63" s="41">
        <f>SUM(J64:J64)</f>
        <v>0</v>
      </c>
      <c r="K63" s="30"/>
      <c r="L63" s="41">
        <f>SUM(L64:L64)</f>
        <v>26.052</v>
      </c>
      <c r="M63" s="30"/>
      <c r="AI63" s="30" t="s">
        <v>134</v>
      </c>
      <c r="AS63" s="41">
        <f>SUM(AJ64:AJ64)</f>
        <v>0</v>
      </c>
      <c r="AT63" s="41">
        <f>SUM(AK64:AK64)</f>
        <v>0</v>
      </c>
      <c r="AU63" s="41">
        <f>SUM(AL64:AL64)</f>
        <v>0</v>
      </c>
    </row>
    <row r="64" spans="1:62" ht="12.75">
      <c r="A64" s="5" t="s">
        <v>24</v>
      </c>
      <c r="B64" s="5" t="s">
        <v>134</v>
      </c>
      <c r="C64" s="5" t="s">
        <v>157</v>
      </c>
      <c r="D64" s="122" t="s">
        <v>320</v>
      </c>
      <c r="E64" s="5" t="s">
        <v>505</v>
      </c>
      <c r="F64" s="21">
        <v>52</v>
      </c>
      <c r="G64" s="21">
        <v>0</v>
      </c>
      <c r="H64" s="21">
        <f>F64*AO64</f>
        <v>0</v>
      </c>
      <c r="I64" s="21">
        <f>F64*AP64</f>
        <v>0</v>
      </c>
      <c r="J64" s="21">
        <f>F64*G64</f>
        <v>0</v>
      </c>
      <c r="K64" s="21">
        <v>0.501</v>
      </c>
      <c r="L64" s="21">
        <f>F64*K64</f>
        <v>26.052</v>
      </c>
      <c r="M64" s="34" t="s">
        <v>531</v>
      </c>
      <c r="Z64" s="38">
        <f>IF(AQ64="5",BJ64,0)</f>
        <v>0</v>
      </c>
      <c r="AB64" s="38">
        <f>IF(AQ64="1",BH64,0)</f>
        <v>0</v>
      </c>
      <c r="AC64" s="38">
        <f>IF(AQ64="1",BI64,0)</f>
        <v>0</v>
      </c>
      <c r="AD64" s="38">
        <f>IF(AQ64="7",BH64,0)</f>
        <v>0</v>
      </c>
      <c r="AE64" s="38">
        <f>IF(AQ64="7",BI64,0)</f>
        <v>0</v>
      </c>
      <c r="AF64" s="38">
        <f>IF(AQ64="2",BH64,0)</f>
        <v>0</v>
      </c>
      <c r="AG64" s="38">
        <f>IF(AQ64="2",BI64,0)</f>
        <v>0</v>
      </c>
      <c r="AH64" s="38">
        <f>IF(AQ64="0",BJ64,0)</f>
        <v>0</v>
      </c>
      <c r="AI64" s="30" t="s">
        <v>134</v>
      </c>
      <c r="AJ64" s="21">
        <f>IF(AN64=0,J64,0)</f>
        <v>0</v>
      </c>
      <c r="AK64" s="21">
        <f>IF(AN64=15,J64,0)</f>
        <v>0</v>
      </c>
      <c r="AL64" s="21">
        <f>IF(AN64=21,J64,0)</f>
        <v>0</v>
      </c>
      <c r="AN64" s="38">
        <v>15</v>
      </c>
      <c r="AO64" s="38">
        <f>G64*0.846259168704157</f>
        <v>0</v>
      </c>
      <c r="AP64" s="38">
        <f>G64*(1-0.846259168704157)</f>
        <v>0</v>
      </c>
      <c r="AQ64" s="34" t="s">
        <v>7</v>
      </c>
      <c r="AV64" s="38">
        <f>AW64+AX64</f>
        <v>0</v>
      </c>
      <c r="AW64" s="38">
        <f>F64*AO64</f>
        <v>0</v>
      </c>
      <c r="AX64" s="38">
        <f>F64*AP64</f>
        <v>0</v>
      </c>
      <c r="AY64" s="39" t="s">
        <v>548</v>
      </c>
      <c r="AZ64" s="39" t="s">
        <v>569</v>
      </c>
      <c r="BA64" s="30" t="s">
        <v>587</v>
      </c>
      <c r="BC64" s="38">
        <f>AW64+AX64</f>
        <v>0</v>
      </c>
      <c r="BD64" s="38">
        <f>G64/(100-BE64)*100</f>
        <v>0</v>
      </c>
      <c r="BE64" s="38">
        <v>0</v>
      </c>
      <c r="BF64" s="38">
        <f>L64</f>
        <v>26.052</v>
      </c>
      <c r="BH64" s="21">
        <f>F64*AO64</f>
        <v>0</v>
      </c>
      <c r="BI64" s="21">
        <f>F64*AP64</f>
        <v>0</v>
      </c>
      <c r="BJ64" s="21">
        <f>F64*G64</f>
        <v>0</v>
      </c>
    </row>
    <row r="65" spans="4:6" ht="12.75">
      <c r="D65" s="123" t="s">
        <v>316</v>
      </c>
      <c r="F65" s="22">
        <v>16</v>
      </c>
    </row>
    <row r="66" spans="4:6" ht="12.75">
      <c r="D66" s="123" t="s">
        <v>317</v>
      </c>
      <c r="F66" s="22">
        <v>10</v>
      </c>
    </row>
    <row r="67" spans="4:6" ht="12.75">
      <c r="D67" s="123" t="s">
        <v>318</v>
      </c>
      <c r="F67" s="22">
        <v>26</v>
      </c>
    </row>
    <row r="68" spans="1:47" ht="25.5">
      <c r="A68" s="4"/>
      <c r="B68" s="14" t="s">
        <v>134</v>
      </c>
      <c r="C68" s="14" t="s">
        <v>65</v>
      </c>
      <c r="D68" s="121" t="s">
        <v>321</v>
      </c>
      <c r="E68" s="4" t="s">
        <v>6</v>
      </c>
      <c r="F68" s="4" t="s">
        <v>6</v>
      </c>
      <c r="G68" s="4" t="s">
        <v>6</v>
      </c>
      <c r="H68" s="41">
        <f>SUM(H69:H72)</f>
        <v>0</v>
      </c>
      <c r="I68" s="41">
        <f>SUM(I69:I72)</f>
        <v>0</v>
      </c>
      <c r="J68" s="41">
        <f>SUM(J69:J72)</f>
        <v>0</v>
      </c>
      <c r="K68" s="30"/>
      <c r="L68" s="41">
        <f>SUM(L69:L72)</f>
        <v>1.9237099999999998</v>
      </c>
      <c r="M68" s="30"/>
      <c r="AI68" s="30" t="s">
        <v>134</v>
      </c>
      <c r="AS68" s="41">
        <f>SUM(AJ69:AJ72)</f>
        <v>0</v>
      </c>
      <c r="AT68" s="41">
        <f>SUM(AK69:AK72)</f>
        <v>0</v>
      </c>
      <c r="AU68" s="41">
        <f>SUM(AL69:AL72)</f>
        <v>0</v>
      </c>
    </row>
    <row r="69" spans="1:62" ht="25.5">
      <c r="A69" s="5" t="s">
        <v>25</v>
      </c>
      <c r="B69" s="5" t="s">
        <v>134</v>
      </c>
      <c r="C69" s="5" t="s">
        <v>158</v>
      </c>
      <c r="D69" s="122" t="s">
        <v>322</v>
      </c>
      <c r="E69" s="5" t="s">
        <v>505</v>
      </c>
      <c r="F69" s="21">
        <v>26</v>
      </c>
      <c r="G69" s="21">
        <v>0</v>
      </c>
      <c r="H69" s="21">
        <f>F69*AO69</f>
        <v>0</v>
      </c>
      <c r="I69" s="21">
        <f>F69*AP69</f>
        <v>0</v>
      </c>
      <c r="J69" s="21">
        <f>F69*G69</f>
        <v>0</v>
      </c>
      <c r="K69" s="21">
        <v>0.0739</v>
      </c>
      <c r="L69" s="21">
        <f>F69*K69</f>
        <v>1.9213999999999998</v>
      </c>
      <c r="M69" s="34" t="s">
        <v>531</v>
      </c>
      <c r="Z69" s="38">
        <f>IF(AQ69="5",BJ69,0)</f>
        <v>0</v>
      </c>
      <c r="AB69" s="38">
        <f>IF(AQ69="1",BH69,0)</f>
        <v>0</v>
      </c>
      <c r="AC69" s="38">
        <f>IF(AQ69="1",BI69,0)</f>
        <v>0</v>
      </c>
      <c r="AD69" s="38">
        <f>IF(AQ69="7",BH69,0)</f>
        <v>0</v>
      </c>
      <c r="AE69" s="38">
        <f>IF(AQ69="7",BI69,0)</f>
        <v>0</v>
      </c>
      <c r="AF69" s="38">
        <f>IF(AQ69="2",BH69,0)</f>
        <v>0</v>
      </c>
      <c r="AG69" s="38">
        <f>IF(AQ69="2",BI69,0)</f>
        <v>0</v>
      </c>
      <c r="AH69" s="38">
        <f>IF(AQ69="0",BJ69,0)</f>
        <v>0</v>
      </c>
      <c r="AI69" s="30" t="s">
        <v>134</v>
      </c>
      <c r="AJ69" s="21">
        <f>IF(AN69=0,J69,0)</f>
        <v>0</v>
      </c>
      <c r="AK69" s="21">
        <f>IF(AN69=15,J69,0)</f>
        <v>0</v>
      </c>
      <c r="AL69" s="21">
        <f>IF(AN69=21,J69,0)</f>
        <v>0</v>
      </c>
      <c r="AN69" s="38">
        <v>15</v>
      </c>
      <c r="AO69" s="38">
        <f>G69*0.158742393509128</f>
        <v>0</v>
      </c>
      <c r="AP69" s="38">
        <f>G69*(1-0.158742393509128)</f>
        <v>0</v>
      </c>
      <c r="AQ69" s="34" t="s">
        <v>7</v>
      </c>
      <c r="AV69" s="38">
        <f>AW69+AX69</f>
        <v>0</v>
      </c>
      <c r="AW69" s="38">
        <f>F69*AO69</f>
        <v>0</v>
      </c>
      <c r="AX69" s="38">
        <f>F69*AP69</f>
        <v>0</v>
      </c>
      <c r="AY69" s="39" t="s">
        <v>549</v>
      </c>
      <c r="AZ69" s="39" t="s">
        <v>570</v>
      </c>
      <c r="BA69" s="30" t="s">
        <v>587</v>
      </c>
      <c r="BC69" s="38">
        <f>AW69+AX69</f>
        <v>0</v>
      </c>
      <c r="BD69" s="38">
        <f>G69/(100-BE69)*100</f>
        <v>0</v>
      </c>
      <c r="BE69" s="38">
        <v>0</v>
      </c>
      <c r="BF69" s="38">
        <f>L69</f>
        <v>1.9213999999999998</v>
      </c>
      <c r="BH69" s="21">
        <f>F69*AO69</f>
        <v>0</v>
      </c>
      <c r="BI69" s="21">
        <f>F69*AP69</f>
        <v>0</v>
      </c>
      <c r="BJ69" s="21">
        <f>F69*G69</f>
        <v>0</v>
      </c>
    </row>
    <row r="70" spans="4:6" ht="12.75">
      <c r="D70" s="123" t="s">
        <v>316</v>
      </c>
      <c r="F70" s="22">
        <v>16</v>
      </c>
    </row>
    <row r="71" spans="4:6" ht="12.75">
      <c r="D71" s="123" t="s">
        <v>317</v>
      </c>
      <c r="F71" s="22">
        <v>10</v>
      </c>
    </row>
    <row r="72" spans="1:62" ht="12.75">
      <c r="A72" s="5" t="s">
        <v>26</v>
      </c>
      <c r="B72" s="5" t="s">
        <v>134</v>
      </c>
      <c r="C72" s="5" t="s">
        <v>159</v>
      </c>
      <c r="D72" s="122" t="s">
        <v>323</v>
      </c>
      <c r="E72" s="5" t="s">
        <v>510</v>
      </c>
      <c r="F72" s="21">
        <v>7</v>
      </c>
      <c r="G72" s="21">
        <v>0</v>
      </c>
      <c r="H72" s="21">
        <f>F72*AO72</f>
        <v>0</v>
      </c>
      <c r="I72" s="21">
        <f>F72*AP72</f>
        <v>0</v>
      </c>
      <c r="J72" s="21">
        <f>F72*G72</f>
        <v>0</v>
      </c>
      <c r="K72" s="21">
        <v>0.00033</v>
      </c>
      <c r="L72" s="21">
        <f>F72*K72</f>
        <v>0.00231</v>
      </c>
      <c r="M72" s="34" t="s">
        <v>531</v>
      </c>
      <c r="Z72" s="38">
        <f>IF(AQ72="5",BJ72,0)</f>
        <v>0</v>
      </c>
      <c r="AB72" s="38">
        <f>IF(AQ72="1",BH72,0)</f>
        <v>0</v>
      </c>
      <c r="AC72" s="38">
        <f>IF(AQ72="1",BI72,0)</f>
        <v>0</v>
      </c>
      <c r="AD72" s="38">
        <f>IF(AQ72="7",BH72,0)</f>
        <v>0</v>
      </c>
      <c r="AE72" s="38">
        <f>IF(AQ72="7",BI72,0)</f>
        <v>0</v>
      </c>
      <c r="AF72" s="38">
        <f>IF(AQ72="2",BH72,0)</f>
        <v>0</v>
      </c>
      <c r="AG72" s="38">
        <f>IF(AQ72="2",BI72,0)</f>
        <v>0</v>
      </c>
      <c r="AH72" s="38">
        <f>IF(AQ72="0",BJ72,0)</f>
        <v>0</v>
      </c>
      <c r="AI72" s="30" t="s">
        <v>134</v>
      </c>
      <c r="AJ72" s="21">
        <f>IF(AN72=0,J72,0)</f>
        <v>0</v>
      </c>
      <c r="AK72" s="21">
        <f>IF(AN72=15,J72,0)</f>
        <v>0</v>
      </c>
      <c r="AL72" s="21">
        <f>IF(AN72=21,J72,0)</f>
        <v>0</v>
      </c>
      <c r="AN72" s="38">
        <v>15</v>
      </c>
      <c r="AO72" s="38">
        <f>G72*0.0597766088707059</f>
        <v>0</v>
      </c>
      <c r="AP72" s="38">
        <f>G72*(1-0.0597766088707059)</f>
        <v>0</v>
      </c>
      <c r="AQ72" s="34" t="s">
        <v>7</v>
      </c>
      <c r="AV72" s="38">
        <f>AW72+AX72</f>
        <v>0</v>
      </c>
      <c r="AW72" s="38">
        <f>F72*AO72</f>
        <v>0</v>
      </c>
      <c r="AX72" s="38">
        <f>F72*AP72</f>
        <v>0</v>
      </c>
      <c r="AY72" s="39" t="s">
        <v>549</v>
      </c>
      <c r="AZ72" s="39" t="s">
        <v>570</v>
      </c>
      <c r="BA72" s="30" t="s">
        <v>587</v>
      </c>
      <c r="BC72" s="38">
        <f>AW72+AX72</f>
        <v>0</v>
      </c>
      <c r="BD72" s="38">
        <f>G72/(100-BE72)*100</f>
        <v>0</v>
      </c>
      <c r="BE72" s="38">
        <v>0</v>
      </c>
      <c r="BF72" s="38">
        <f>L72</f>
        <v>0.00231</v>
      </c>
      <c r="BH72" s="21">
        <f>F72*AO72</f>
        <v>0</v>
      </c>
      <c r="BI72" s="21">
        <f>F72*AP72</f>
        <v>0</v>
      </c>
      <c r="BJ72" s="21">
        <f>F72*G72</f>
        <v>0</v>
      </c>
    </row>
    <row r="73" spans="1:47" ht="38.25">
      <c r="A73" s="4"/>
      <c r="B73" s="14" t="s">
        <v>134</v>
      </c>
      <c r="C73" s="14" t="s">
        <v>97</v>
      </c>
      <c r="D73" s="121" t="s">
        <v>324</v>
      </c>
      <c r="E73" s="4" t="s">
        <v>6</v>
      </c>
      <c r="F73" s="4" t="s">
        <v>6</v>
      </c>
      <c r="G73" s="4" t="s">
        <v>6</v>
      </c>
      <c r="H73" s="41">
        <f>SUM(H74:H80)</f>
        <v>0</v>
      </c>
      <c r="I73" s="41">
        <f>SUM(I74:I80)</f>
        <v>0</v>
      </c>
      <c r="J73" s="41">
        <f>SUM(J74:J80)</f>
        <v>0</v>
      </c>
      <c r="K73" s="30"/>
      <c r="L73" s="41">
        <f>SUM(L74:L80)</f>
        <v>7.771459999999999</v>
      </c>
      <c r="M73" s="30"/>
      <c r="AI73" s="30" t="s">
        <v>134</v>
      </c>
      <c r="AS73" s="41">
        <f>SUM(AJ74:AJ80)</f>
        <v>0</v>
      </c>
      <c r="AT73" s="41">
        <f>SUM(AK74:AK80)</f>
        <v>0</v>
      </c>
      <c r="AU73" s="41">
        <f>SUM(AL74:AL80)</f>
        <v>0</v>
      </c>
    </row>
    <row r="74" spans="1:62" ht="25.5">
      <c r="A74" s="5" t="s">
        <v>27</v>
      </c>
      <c r="B74" s="5" t="s">
        <v>134</v>
      </c>
      <c r="C74" s="5" t="s">
        <v>160</v>
      </c>
      <c r="D74" s="122" t="s">
        <v>325</v>
      </c>
      <c r="E74" s="5" t="s">
        <v>510</v>
      </c>
      <c r="F74" s="21">
        <v>10</v>
      </c>
      <c r="G74" s="21">
        <v>0</v>
      </c>
      <c r="H74" s="21">
        <f>F74*AO74</f>
        <v>0</v>
      </c>
      <c r="I74" s="21">
        <f>F74*AP74</f>
        <v>0</v>
      </c>
      <c r="J74" s="21">
        <f>F74*G74</f>
        <v>0</v>
      </c>
      <c r="K74" s="21">
        <v>0.12472</v>
      </c>
      <c r="L74" s="21">
        <f>F74*K74</f>
        <v>1.2471999999999999</v>
      </c>
      <c r="M74" s="34" t="s">
        <v>531</v>
      </c>
      <c r="Z74" s="38">
        <f>IF(AQ74="5",BJ74,0)</f>
        <v>0</v>
      </c>
      <c r="AB74" s="38">
        <f>IF(AQ74="1",BH74,0)</f>
        <v>0</v>
      </c>
      <c r="AC74" s="38">
        <f>IF(AQ74="1",BI74,0)</f>
        <v>0</v>
      </c>
      <c r="AD74" s="38">
        <f>IF(AQ74="7",BH74,0)</f>
        <v>0</v>
      </c>
      <c r="AE74" s="38">
        <f>IF(AQ74="7",BI74,0)</f>
        <v>0</v>
      </c>
      <c r="AF74" s="38">
        <f>IF(AQ74="2",BH74,0)</f>
        <v>0</v>
      </c>
      <c r="AG74" s="38">
        <f>IF(AQ74="2",BI74,0)</f>
        <v>0</v>
      </c>
      <c r="AH74" s="38">
        <f>IF(AQ74="0",BJ74,0)</f>
        <v>0</v>
      </c>
      <c r="AI74" s="30" t="s">
        <v>134</v>
      </c>
      <c r="AJ74" s="21">
        <f>IF(AN74=0,J74,0)</f>
        <v>0</v>
      </c>
      <c r="AK74" s="21">
        <f>IF(AN74=15,J74,0)</f>
        <v>0</v>
      </c>
      <c r="AL74" s="21">
        <f>IF(AN74=21,J74,0)</f>
        <v>0</v>
      </c>
      <c r="AN74" s="38">
        <v>15</v>
      </c>
      <c r="AO74" s="38">
        <f>G74*0.699787118174167</f>
        <v>0</v>
      </c>
      <c r="AP74" s="38">
        <f>G74*(1-0.699787118174167)</f>
        <v>0</v>
      </c>
      <c r="AQ74" s="34" t="s">
        <v>7</v>
      </c>
      <c r="AV74" s="38">
        <f>AW74+AX74</f>
        <v>0</v>
      </c>
      <c r="AW74" s="38">
        <f>F74*AO74</f>
        <v>0</v>
      </c>
      <c r="AX74" s="38">
        <f>F74*AP74</f>
        <v>0</v>
      </c>
      <c r="AY74" s="39" t="s">
        <v>550</v>
      </c>
      <c r="AZ74" s="39" t="s">
        <v>571</v>
      </c>
      <c r="BA74" s="30" t="s">
        <v>587</v>
      </c>
      <c r="BC74" s="38">
        <f>AW74+AX74</f>
        <v>0</v>
      </c>
      <c r="BD74" s="38">
        <f>G74/(100-BE74)*100</f>
        <v>0</v>
      </c>
      <c r="BE74" s="38">
        <v>0</v>
      </c>
      <c r="BF74" s="38">
        <f>L74</f>
        <v>1.2471999999999999</v>
      </c>
      <c r="BH74" s="21">
        <f>F74*AO74</f>
        <v>0</v>
      </c>
      <c r="BI74" s="21">
        <f>F74*AP74</f>
        <v>0</v>
      </c>
      <c r="BJ74" s="21">
        <f>F74*G74</f>
        <v>0</v>
      </c>
    </row>
    <row r="75" ht="12.75">
      <c r="D75" s="18" t="s">
        <v>326</v>
      </c>
    </row>
    <row r="76" spans="4:6" ht="12.75">
      <c r="D76" s="123" t="s">
        <v>327</v>
      </c>
      <c r="F76" s="22">
        <v>10</v>
      </c>
    </row>
    <row r="77" spans="1:62" ht="25.5">
      <c r="A77" s="5" t="s">
        <v>28</v>
      </c>
      <c r="B77" s="5" t="s">
        <v>134</v>
      </c>
      <c r="C77" s="5" t="s">
        <v>161</v>
      </c>
      <c r="D77" s="122" t="s">
        <v>328</v>
      </c>
      <c r="E77" s="5" t="s">
        <v>510</v>
      </c>
      <c r="F77" s="21">
        <v>34</v>
      </c>
      <c r="G77" s="21">
        <v>0</v>
      </c>
      <c r="H77" s="21">
        <f>F77*AO77</f>
        <v>0</v>
      </c>
      <c r="I77" s="21">
        <f>F77*AP77</f>
        <v>0</v>
      </c>
      <c r="J77" s="21">
        <f>F77*G77</f>
        <v>0</v>
      </c>
      <c r="K77" s="21">
        <v>0.19189</v>
      </c>
      <c r="L77" s="21">
        <f>F77*K77</f>
        <v>6.52426</v>
      </c>
      <c r="M77" s="34" t="s">
        <v>531</v>
      </c>
      <c r="Z77" s="38">
        <f>IF(AQ77="5",BJ77,0)</f>
        <v>0</v>
      </c>
      <c r="AB77" s="38">
        <f>IF(AQ77="1",BH77,0)</f>
        <v>0</v>
      </c>
      <c r="AC77" s="38">
        <f>IF(AQ77="1",BI77,0)</f>
        <v>0</v>
      </c>
      <c r="AD77" s="38">
        <f>IF(AQ77="7",BH77,0)</f>
        <v>0</v>
      </c>
      <c r="AE77" s="38">
        <f>IF(AQ77="7",BI77,0)</f>
        <v>0</v>
      </c>
      <c r="AF77" s="38">
        <f>IF(AQ77="2",BH77,0)</f>
        <v>0</v>
      </c>
      <c r="AG77" s="38">
        <f>IF(AQ77="2",BI77,0)</f>
        <v>0</v>
      </c>
      <c r="AH77" s="38">
        <f>IF(AQ77="0",BJ77,0)</f>
        <v>0</v>
      </c>
      <c r="AI77" s="30" t="s">
        <v>134</v>
      </c>
      <c r="AJ77" s="21">
        <f>IF(AN77=0,J77,0)</f>
        <v>0</v>
      </c>
      <c r="AK77" s="21">
        <f>IF(AN77=15,J77,0)</f>
        <v>0</v>
      </c>
      <c r="AL77" s="21">
        <f>IF(AN77=21,J77,0)</f>
        <v>0</v>
      </c>
      <c r="AN77" s="38">
        <v>15</v>
      </c>
      <c r="AO77" s="38">
        <f>G77*0.74986922681008</f>
        <v>0</v>
      </c>
      <c r="AP77" s="38">
        <f>G77*(1-0.74986922681008)</f>
        <v>0</v>
      </c>
      <c r="AQ77" s="34" t="s">
        <v>7</v>
      </c>
      <c r="AV77" s="38">
        <f>AW77+AX77</f>
        <v>0</v>
      </c>
      <c r="AW77" s="38">
        <f>F77*AO77</f>
        <v>0</v>
      </c>
      <c r="AX77" s="38">
        <f>F77*AP77</f>
        <v>0</v>
      </c>
      <c r="AY77" s="39" t="s">
        <v>550</v>
      </c>
      <c r="AZ77" s="39" t="s">
        <v>571</v>
      </c>
      <c r="BA77" s="30" t="s">
        <v>587</v>
      </c>
      <c r="BC77" s="38">
        <f>AW77+AX77</f>
        <v>0</v>
      </c>
      <c r="BD77" s="38">
        <f>G77/(100-BE77)*100</f>
        <v>0</v>
      </c>
      <c r="BE77" s="38">
        <v>0</v>
      </c>
      <c r="BF77" s="38">
        <f>L77</f>
        <v>6.52426</v>
      </c>
      <c r="BH77" s="21">
        <f>F77*AO77</f>
        <v>0</v>
      </c>
      <c r="BI77" s="21">
        <f>F77*AP77</f>
        <v>0</v>
      </c>
      <c r="BJ77" s="21">
        <f>F77*G77</f>
        <v>0</v>
      </c>
    </row>
    <row r="78" ht="12.75">
      <c r="D78" s="18" t="s">
        <v>329</v>
      </c>
    </row>
    <row r="79" spans="4:6" ht="12.75">
      <c r="D79" s="123" t="s">
        <v>330</v>
      </c>
      <c r="F79" s="22">
        <v>34</v>
      </c>
    </row>
    <row r="80" spans="1:62" ht="25.5">
      <c r="A80" s="5" t="s">
        <v>29</v>
      </c>
      <c r="B80" s="5" t="s">
        <v>134</v>
      </c>
      <c r="C80" s="5" t="s">
        <v>162</v>
      </c>
      <c r="D80" s="122" t="s">
        <v>331</v>
      </c>
      <c r="E80" s="5" t="s">
        <v>509</v>
      </c>
      <c r="F80" s="21">
        <v>38.12227</v>
      </c>
      <c r="G80" s="21">
        <v>0</v>
      </c>
      <c r="H80" s="21">
        <f>F80*AO80</f>
        <v>0</v>
      </c>
      <c r="I80" s="21">
        <f>F80*AP80</f>
        <v>0</v>
      </c>
      <c r="J80" s="21">
        <f>F80*G80</f>
        <v>0</v>
      </c>
      <c r="K80" s="21">
        <v>0</v>
      </c>
      <c r="L80" s="21">
        <f>F80*K80</f>
        <v>0</v>
      </c>
      <c r="M80" s="34" t="s">
        <v>531</v>
      </c>
      <c r="Z80" s="38">
        <f>IF(AQ80="5",BJ80,0)</f>
        <v>0</v>
      </c>
      <c r="AB80" s="38">
        <f>IF(AQ80="1",BH80,0)</f>
        <v>0</v>
      </c>
      <c r="AC80" s="38">
        <f>IF(AQ80="1",BI80,0)</f>
        <v>0</v>
      </c>
      <c r="AD80" s="38">
        <f>IF(AQ80="7",BH80,0)</f>
        <v>0</v>
      </c>
      <c r="AE80" s="38">
        <f>IF(AQ80="7",BI80,0)</f>
        <v>0</v>
      </c>
      <c r="AF80" s="38">
        <f>IF(AQ80="2",BH80,0)</f>
        <v>0</v>
      </c>
      <c r="AG80" s="38">
        <f>IF(AQ80="2",BI80,0)</f>
        <v>0</v>
      </c>
      <c r="AH80" s="38">
        <f>IF(AQ80="0",BJ80,0)</f>
        <v>0</v>
      </c>
      <c r="AI80" s="30" t="s">
        <v>134</v>
      </c>
      <c r="AJ80" s="21">
        <f>IF(AN80=0,J80,0)</f>
        <v>0</v>
      </c>
      <c r="AK80" s="21">
        <f>IF(AN80=15,J80,0)</f>
        <v>0</v>
      </c>
      <c r="AL80" s="21">
        <f>IF(AN80=21,J80,0)</f>
        <v>0</v>
      </c>
      <c r="AN80" s="38">
        <v>15</v>
      </c>
      <c r="AO80" s="38">
        <f>G80*0</f>
        <v>0</v>
      </c>
      <c r="AP80" s="38">
        <f>G80*(1-0)</f>
        <v>0</v>
      </c>
      <c r="AQ80" s="34" t="s">
        <v>11</v>
      </c>
      <c r="AV80" s="38">
        <f>AW80+AX80</f>
        <v>0</v>
      </c>
      <c r="AW80" s="38">
        <f>F80*AO80</f>
        <v>0</v>
      </c>
      <c r="AX80" s="38">
        <f>F80*AP80</f>
        <v>0</v>
      </c>
      <c r="AY80" s="39" t="s">
        <v>550</v>
      </c>
      <c r="AZ80" s="39" t="s">
        <v>571</v>
      </c>
      <c r="BA80" s="30" t="s">
        <v>587</v>
      </c>
      <c r="BC80" s="38">
        <f>AW80+AX80</f>
        <v>0</v>
      </c>
      <c r="BD80" s="38">
        <f>G80/(100-BE80)*100</f>
        <v>0</v>
      </c>
      <c r="BE80" s="38">
        <v>0</v>
      </c>
      <c r="BF80" s="38">
        <f>L80</f>
        <v>0</v>
      </c>
      <c r="BH80" s="21">
        <f>F80*AO80</f>
        <v>0</v>
      </c>
      <c r="BI80" s="21">
        <f>F80*AP80</f>
        <v>0</v>
      </c>
      <c r="BJ80" s="21">
        <f>F80*G80</f>
        <v>0</v>
      </c>
    </row>
    <row r="81" spans="1:13" ht="12.75">
      <c r="A81" s="6"/>
      <c r="B81" s="15" t="s">
        <v>135</v>
      </c>
      <c r="C81" s="15"/>
      <c r="D81" s="124" t="s">
        <v>332</v>
      </c>
      <c r="E81" s="6" t="s">
        <v>6</v>
      </c>
      <c r="F81" s="6" t="s">
        <v>6</v>
      </c>
      <c r="G81" s="6" t="s">
        <v>6</v>
      </c>
      <c r="H81" s="42">
        <f>H82+H85</f>
        <v>0</v>
      </c>
      <c r="I81" s="42">
        <f>I82+I85</f>
        <v>0</v>
      </c>
      <c r="J81" s="42">
        <f>J82+J85</f>
        <v>0</v>
      </c>
      <c r="K81" s="31"/>
      <c r="L81" s="42">
        <f>L82+L85</f>
        <v>15.096654</v>
      </c>
      <c r="M81" s="31"/>
    </row>
    <row r="82" spans="1:47" ht="12.75">
      <c r="A82" s="4"/>
      <c r="B82" s="14" t="s">
        <v>135</v>
      </c>
      <c r="C82" s="14" t="s">
        <v>17</v>
      </c>
      <c r="D82" s="121" t="s">
        <v>269</v>
      </c>
      <c r="E82" s="4" t="s">
        <v>6</v>
      </c>
      <c r="F82" s="4" t="s">
        <v>6</v>
      </c>
      <c r="G82" s="4" t="s">
        <v>6</v>
      </c>
      <c r="H82" s="41">
        <f>SUM(H83:H83)</f>
        <v>0</v>
      </c>
      <c r="I82" s="41">
        <f>SUM(I83:I83)</f>
        <v>0</v>
      </c>
      <c r="J82" s="41">
        <f>SUM(J83:J83)</f>
        <v>0</v>
      </c>
      <c r="K82" s="30"/>
      <c r="L82" s="41">
        <f>SUM(L83:L83)</f>
        <v>0</v>
      </c>
      <c r="M82" s="30"/>
      <c r="AI82" s="30" t="s">
        <v>135</v>
      </c>
      <c r="AS82" s="41">
        <f>SUM(AJ83:AJ83)</f>
        <v>0</v>
      </c>
      <c r="AT82" s="41">
        <f>SUM(AK83:AK83)</f>
        <v>0</v>
      </c>
      <c r="AU82" s="41">
        <f>SUM(AL83:AL83)</f>
        <v>0</v>
      </c>
    </row>
    <row r="83" spans="1:62" ht="25.5">
      <c r="A83" s="5" t="s">
        <v>30</v>
      </c>
      <c r="B83" s="5" t="s">
        <v>135</v>
      </c>
      <c r="C83" s="5" t="s">
        <v>163</v>
      </c>
      <c r="D83" s="122" t="s">
        <v>333</v>
      </c>
      <c r="E83" s="5" t="s">
        <v>505</v>
      </c>
      <c r="F83" s="21">
        <v>33</v>
      </c>
      <c r="G83" s="21">
        <v>0</v>
      </c>
      <c r="H83" s="21">
        <f>F83*AO83</f>
        <v>0</v>
      </c>
      <c r="I83" s="21">
        <f>F83*AP83</f>
        <v>0</v>
      </c>
      <c r="J83" s="21">
        <f>F83*G83</f>
        <v>0</v>
      </c>
      <c r="K83" s="21">
        <v>0</v>
      </c>
      <c r="L83" s="21">
        <f>F83*K83</f>
        <v>0</v>
      </c>
      <c r="M83" s="34" t="s">
        <v>531</v>
      </c>
      <c r="Z83" s="38">
        <f>IF(AQ83="5",BJ83,0)</f>
        <v>0</v>
      </c>
      <c r="AB83" s="38">
        <f>IF(AQ83="1",BH83,0)</f>
        <v>0</v>
      </c>
      <c r="AC83" s="38">
        <f>IF(AQ83="1",BI83,0)</f>
        <v>0</v>
      </c>
      <c r="AD83" s="38">
        <f>IF(AQ83="7",BH83,0)</f>
        <v>0</v>
      </c>
      <c r="AE83" s="38">
        <f>IF(AQ83="7",BI83,0)</f>
        <v>0</v>
      </c>
      <c r="AF83" s="38">
        <f>IF(AQ83="2",BH83,0)</f>
        <v>0</v>
      </c>
      <c r="AG83" s="38">
        <f>IF(AQ83="2",BI83,0)</f>
        <v>0</v>
      </c>
      <c r="AH83" s="38">
        <f>IF(AQ83="0",BJ83,0)</f>
        <v>0</v>
      </c>
      <c r="AI83" s="30" t="s">
        <v>135</v>
      </c>
      <c r="AJ83" s="21">
        <f>IF(AN83=0,J83,0)</f>
        <v>0</v>
      </c>
      <c r="AK83" s="21">
        <f>IF(AN83=15,J83,0)</f>
        <v>0</v>
      </c>
      <c r="AL83" s="21">
        <f>IF(AN83=21,J83,0)</f>
        <v>0</v>
      </c>
      <c r="AN83" s="38">
        <v>15</v>
      </c>
      <c r="AO83" s="38">
        <f>G83*0</f>
        <v>0</v>
      </c>
      <c r="AP83" s="38">
        <f>G83*(1-0)</f>
        <v>0</v>
      </c>
      <c r="AQ83" s="34" t="s">
        <v>7</v>
      </c>
      <c r="AV83" s="38">
        <f>AW83+AX83</f>
        <v>0</v>
      </c>
      <c r="AW83" s="38">
        <f>F83*AO83</f>
        <v>0</v>
      </c>
      <c r="AX83" s="38">
        <f>F83*AP83</f>
        <v>0</v>
      </c>
      <c r="AY83" s="39" t="s">
        <v>542</v>
      </c>
      <c r="AZ83" s="39" t="s">
        <v>572</v>
      </c>
      <c r="BA83" s="30" t="s">
        <v>588</v>
      </c>
      <c r="BC83" s="38">
        <f>AW83+AX83</f>
        <v>0</v>
      </c>
      <c r="BD83" s="38">
        <f>G83/(100-BE83)*100</f>
        <v>0</v>
      </c>
      <c r="BE83" s="38">
        <v>0</v>
      </c>
      <c r="BF83" s="38">
        <f>L83</f>
        <v>0</v>
      </c>
      <c r="BH83" s="21">
        <f>F83*AO83</f>
        <v>0</v>
      </c>
      <c r="BI83" s="21">
        <f>F83*AP83</f>
        <v>0</v>
      </c>
      <c r="BJ83" s="21">
        <f>F83*G83</f>
        <v>0</v>
      </c>
    </row>
    <row r="84" spans="4:6" ht="12.75">
      <c r="D84" s="123" t="s">
        <v>334</v>
      </c>
      <c r="F84" s="22">
        <v>33</v>
      </c>
    </row>
    <row r="85" spans="1:47" ht="12.75">
      <c r="A85" s="4"/>
      <c r="B85" s="14" t="s">
        <v>135</v>
      </c>
      <c r="C85" s="14" t="s">
        <v>24</v>
      </c>
      <c r="D85" s="121" t="s">
        <v>314</v>
      </c>
      <c r="E85" s="4" t="s">
        <v>6</v>
      </c>
      <c r="F85" s="4" t="s">
        <v>6</v>
      </c>
      <c r="G85" s="4" t="s">
        <v>6</v>
      </c>
      <c r="H85" s="41">
        <f>SUM(H86:H150)</f>
        <v>0</v>
      </c>
      <c r="I85" s="41">
        <f>SUM(I86:I150)</f>
        <v>0</v>
      </c>
      <c r="J85" s="41">
        <f>SUM(J86:J150)</f>
        <v>0</v>
      </c>
      <c r="K85" s="30"/>
      <c r="L85" s="41">
        <f>SUM(L86:L150)</f>
        <v>15.096654</v>
      </c>
      <c r="M85" s="30"/>
      <c r="AI85" s="30" t="s">
        <v>135</v>
      </c>
      <c r="AS85" s="41">
        <f>SUM(AJ86:AJ150)</f>
        <v>0</v>
      </c>
      <c r="AT85" s="41">
        <f>SUM(AK86:AK150)</f>
        <v>0</v>
      </c>
      <c r="AU85" s="41">
        <f>SUM(AL86:AL150)</f>
        <v>0</v>
      </c>
    </row>
    <row r="86" spans="1:62" ht="25.5">
      <c r="A86" s="5" t="s">
        <v>31</v>
      </c>
      <c r="B86" s="5" t="s">
        <v>135</v>
      </c>
      <c r="C86" s="5" t="s">
        <v>164</v>
      </c>
      <c r="D86" s="122" t="s">
        <v>335</v>
      </c>
      <c r="E86" s="5" t="s">
        <v>506</v>
      </c>
      <c r="F86" s="21">
        <v>3</v>
      </c>
      <c r="G86" s="21">
        <v>0</v>
      </c>
      <c r="H86" s="21">
        <f aca="true" t="shared" si="0" ref="H86:H96">F86*AO86</f>
        <v>0</v>
      </c>
      <c r="I86" s="21">
        <f aca="true" t="shared" si="1" ref="I86:I96">F86*AP86</f>
        <v>0</v>
      </c>
      <c r="J86" s="21">
        <f aca="true" t="shared" si="2" ref="J86:J96">F86*G86</f>
        <v>0</v>
      </c>
      <c r="K86" s="21">
        <v>0</v>
      </c>
      <c r="L86" s="21">
        <f aca="true" t="shared" si="3" ref="L86:L96">F86*K86</f>
        <v>0</v>
      </c>
      <c r="M86" s="34" t="s">
        <v>531</v>
      </c>
      <c r="Z86" s="38">
        <f aca="true" t="shared" si="4" ref="Z86:Z96">IF(AQ86="5",BJ86,0)</f>
        <v>0</v>
      </c>
      <c r="AB86" s="38">
        <f aca="true" t="shared" si="5" ref="AB86:AB96">IF(AQ86="1",BH86,0)</f>
        <v>0</v>
      </c>
      <c r="AC86" s="38">
        <f aca="true" t="shared" si="6" ref="AC86:AC96">IF(AQ86="1",BI86,0)</f>
        <v>0</v>
      </c>
      <c r="AD86" s="38">
        <f aca="true" t="shared" si="7" ref="AD86:AD96">IF(AQ86="7",BH86,0)</f>
        <v>0</v>
      </c>
      <c r="AE86" s="38">
        <f aca="true" t="shared" si="8" ref="AE86:AE96">IF(AQ86="7",BI86,0)</f>
        <v>0</v>
      </c>
      <c r="AF86" s="38">
        <f aca="true" t="shared" si="9" ref="AF86:AF96">IF(AQ86="2",BH86,0)</f>
        <v>0</v>
      </c>
      <c r="AG86" s="38">
        <f aca="true" t="shared" si="10" ref="AG86:AG96">IF(AQ86="2",BI86,0)</f>
        <v>0</v>
      </c>
      <c r="AH86" s="38">
        <f aca="true" t="shared" si="11" ref="AH86:AH96">IF(AQ86="0",BJ86,0)</f>
        <v>0</v>
      </c>
      <c r="AI86" s="30" t="s">
        <v>135</v>
      </c>
      <c r="AJ86" s="21">
        <f aca="true" t="shared" si="12" ref="AJ86:AJ96">IF(AN86=0,J86,0)</f>
        <v>0</v>
      </c>
      <c r="AK86" s="21">
        <f aca="true" t="shared" si="13" ref="AK86:AK96">IF(AN86=15,J86,0)</f>
        <v>0</v>
      </c>
      <c r="AL86" s="21">
        <f aca="true" t="shared" si="14" ref="AL86:AL96">IF(AN86=21,J86,0)</f>
        <v>0</v>
      </c>
      <c r="AN86" s="38">
        <v>15</v>
      </c>
      <c r="AO86" s="38">
        <f>G86*0</f>
        <v>0</v>
      </c>
      <c r="AP86" s="38">
        <f>G86*(1-0)</f>
        <v>0</v>
      </c>
      <c r="AQ86" s="34" t="s">
        <v>7</v>
      </c>
      <c r="AV86" s="38">
        <f aca="true" t="shared" si="15" ref="AV86:AV96">AW86+AX86</f>
        <v>0</v>
      </c>
      <c r="AW86" s="38">
        <f aca="true" t="shared" si="16" ref="AW86:AW96">F86*AO86</f>
        <v>0</v>
      </c>
      <c r="AX86" s="38">
        <f aca="true" t="shared" si="17" ref="AX86:AX96">F86*AP86</f>
        <v>0</v>
      </c>
      <c r="AY86" s="39" t="s">
        <v>547</v>
      </c>
      <c r="AZ86" s="39" t="s">
        <v>572</v>
      </c>
      <c r="BA86" s="30" t="s">
        <v>588</v>
      </c>
      <c r="BC86" s="38">
        <f aca="true" t="shared" si="18" ref="BC86:BC96">AW86+AX86</f>
        <v>0</v>
      </c>
      <c r="BD86" s="38">
        <f aca="true" t="shared" si="19" ref="BD86:BD96">G86/(100-BE86)*100</f>
        <v>0</v>
      </c>
      <c r="BE86" s="38">
        <v>0</v>
      </c>
      <c r="BF86" s="38">
        <f aca="true" t="shared" si="20" ref="BF86:BF96">L86</f>
        <v>0</v>
      </c>
      <c r="BH86" s="21">
        <f aca="true" t="shared" si="21" ref="BH86:BH96">F86*AO86</f>
        <v>0</v>
      </c>
      <c r="BI86" s="21">
        <f aca="true" t="shared" si="22" ref="BI86:BI96">F86*AP86</f>
        <v>0</v>
      </c>
      <c r="BJ86" s="21">
        <f aca="true" t="shared" si="23" ref="BJ86:BJ96">F86*G86</f>
        <v>0</v>
      </c>
    </row>
    <row r="87" spans="1:62" ht="25.5">
      <c r="A87" s="5" t="s">
        <v>32</v>
      </c>
      <c r="B87" s="5" t="s">
        <v>135</v>
      </c>
      <c r="C87" s="5" t="s">
        <v>165</v>
      </c>
      <c r="D87" s="122" t="s">
        <v>336</v>
      </c>
      <c r="E87" s="5" t="s">
        <v>506</v>
      </c>
      <c r="F87" s="21">
        <v>10</v>
      </c>
      <c r="G87" s="21">
        <v>0</v>
      </c>
      <c r="H87" s="21">
        <f t="shared" si="0"/>
        <v>0</v>
      </c>
      <c r="I87" s="21">
        <f t="shared" si="1"/>
        <v>0</v>
      </c>
      <c r="J87" s="21">
        <f t="shared" si="2"/>
        <v>0</v>
      </c>
      <c r="K87" s="21">
        <v>0</v>
      </c>
      <c r="L87" s="21">
        <f t="shared" si="3"/>
        <v>0</v>
      </c>
      <c r="M87" s="34" t="s">
        <v>531</v>
      </c>
      <c r="Z87" s="38">
        <f t="shared" si="4"/>
        <v>0</v>
      </c>
      <c r="AB87" s="38">
        <f t="shared" si="5"/>
        <v>0</v>
      </c>
      <c r="AC87" s="38">
        <f t="shared" si="6"/>
        <v>0</v>
      </c>
      <c r="AD87" s="38">
        <f t="shared" si="7"/>
        <v>0</v>
      </c>
      <c r="AE87" s="38">
        <f t="shared" si="8"/>
        <v>0</v>
      </c>
      <c r="AF87" s="38">
        <f t="shared" si="9"/>
        <v>0</v>
      </c>
      <c r="AG87" s="38">
        <f t="shared" si="10"/>
        <v>0</v>
      </c>
      <c r="AH87" s="38">
        <f t="shared" si="11"/>
        <v>0</v>
      </c>
      <c r="AI87" s="30" t="s">
        <v>135</v>
      </c>
      <c r="AJ87" s="21">
        <f t="shared" si="12"/>
        <v>0</v>
      </c>
      <c r="AK87" s="21">
        <f t="shared" si="13"/>
        <v>0</v>
      </c>
      <c r="AL87" s="21">
        <f t="shared" si="14"/>
        <v>0</v>
      </c>
      <c r="AN87" s="38">
        <v>15</v>
      </c>
      <c r="AO87" s="38">
        <f>G87*0</f>
        <v>0</v>
      </c>
      <c r="AP87" s="38">
        <f>G87*(1-0)</f>
        <v>0</v>
      </c>
      <c r="AQ87" s="34" t="s">
        <v>7</v>
      </c>
      <c r="AV87" s="38">
        <f t="shared" si="15"/>
        <v>0</v>
      </c>
      <c r="AW87" s="38">
        <f t="shared" si="16"/>
        <v>0</v>
      </c>
      <c r="AX87" s="38">
        <f t="shared" si="17"/>
        <v>0</v>
      </c>
      <c r="AY87" s="39" t="s">
        <v>547</v>
      </c>
      <c r="AZ87" s="39" t="s">
        <v>572</v>
      </c>
      <c r="BA87" s="30" t="s">
        <v>588</v>
      </c>
      <c r="BC87" s="38">
        <f t="shared" si="18"/>
        <v>0</v>
      </c>
      <c r="BD87" s="38">
        <f t="shared" si="19"/>
        <v>0</v>
      </c>
      <c r="BE87" s="38">
        <v>0</v>
      </c>
      <c r="BF87" s="38">
        <f t="shared" si="20"/>
        <v>0</v>
      </c>
      <c r="BH87" s="21">
        <f t="shared" si="21"/>
        <v>0</v>
      </c>
      <c r="BI87" s="21">
        <f t="shared" si="22"/>
        <v>0</v>
      </c>
      <c r="BJ87" s="21">
        <f t="shared" si="23"/>
        <v>0</v>
      </c>
    </row>
    <row r="88" spans="1:62" ht="25.5">
      <c r="A88" s="5" t="s">
        <v>33</v>
      </c>
      <c r="B88" s="5" t="s">
        <v>135</v>
      </c>
      <c r="C88" s="5" t="s">
        <v>166</v>
      </c>
      <c r="D88" s="122" t="s">
        <v>337</v>
      </c>
      <c r="E88" s="5" t="s">
        <v>506</v>
      </c>
      <c r="F88" s="21">
        <v>56</v>
      </c>
      <c r="G88" s="21">
        <v>0</v>
      </c>
      <c r="H88" s="21">
        <f t="shared" si="0"/>
        <v>0</v>
      </c>
      <c r="I88" s="21">
        <f t="shared" si="1"/>
        <v>0</v>
      </c>
      <c r="J88" s="21">
        <f t="shared" si="2"/>
        <v>0</v>
      </c>
      <c r="K88" s="21">
        <v>0</v>
      </c>
      <c r="L88" s="21">
        <f t="shared" si="3"/>
        <v>0</v>
      </c>
      <c r="M88" s="34" t="s">
        <v>531</v>
      </c>
      <c r="Z88" s="38">
        <f t="shared" si="4"/>
        <v>0</v>
      </c>
      <c r="AB88" s="38">
        <f t="shared" si="5"/>
        <v>0</v>
      </c>
      <c r="AC88" s="38">
        <f t="shared" si="6"/>
        <v>0</v>
      </c>
      <c r="AD88" s="38">
        <f t="shared" si="7"/>
        <v>0</v>
      </c>
      <c r="AE88" s="38">
        <f t="shared" si="8"/>
        <v>0</v>
      </c>
      <c r="AF88" s="38">
        <f t="shared" si="9"/>
        <v>0</v>
      </c>
      <c r="AG88" s="38">
        <f t="shared" si="10"/>
        <v>0</v>
      </c>
      <c r="AH88" s="38">
        <f t="shared" si="11"/>
        <v>0</v>
      </c>
      <c r="AI88" s="30" t="s">
        <v>135</v>
      </c>
      <c r="AJ88" s="21">
        <f t="shared" si="12"/>
        <v>0</v>
      </c>
      <c r="AK88" s="21">
        <f t="shared" si="13"/>
        <v>0</v>
      </c>
      <c r="AL88" s="21">
        <f t="shared" si="14"/>
        <v>0</v>
      </c>
      <c r="AN88" s="38">
        <v>15</v>
      </c>
      <c r="AO88" s="38">
        <f>G88*0</f>
        <v>0</v>
      </c>
      <c r="AP88" s="38">
        <f>G88*(1-0)</f>
        <v>0</v>
      </c>
      <c r="AQ88" s="34" t="s">
        <v>7</v>
      </c>
      <c r="AV88" s="38">
        <f t="shared" si="15"/>
        <v>0</v>
      </c>
      <c r="AW88" s="38">
        <f t="shared" si="16"/>
        <v>0</v>
      </c>
      <c r="AX88" s="38">
        <f t="shared" si="17"/>
        <v>0</v>
      </c>
      <c r="AY88" s="39" t="s">
        <v>547</v>
      </c>
      <c r="AZ88" s="39" t="s">
        <v>572</v>
      </c>
      <c r="BA88" s="30" t="s">
        <v>588</v>
      </c>
      <c r="BC88" s="38">
        <f t="shared" si="18"/>
        <v>0</v>
      </c>
      <c r="BD88" s="38">
        <f t="shared" si="19"/>
        <v>0</v>
      </c>
      <c r="BE88" s="38">
        <v>0</v>
      </c>
      <c r="BF88" s="38">
        <f t="shared" si="20"/>
        <v>0</v>
      </c>
      <c r="BH88" s="21">
        <f t="shared" si="21"/>
        <v>0</v>
      </c>
      <c r="BI88" s="21">
        <f t="shared" si="22"/>
        <v>0</v>
      </c>
      <c r="BJ88" s="21">
        <f t="shared" si="23"/>
        <v>0</v>
      </c>
    </row>
    <row r="89" spans="1:62" ht="25.5">
      <c r="A89" s="5" t="s">
        <v>34</v>
      </c>
      <c r="B89" s="5" t="s">
        <v>135</v>
      </c>
      <c r="C89" s="5" t="s">
        <v>167</v>
      </c>
      <c r="D89" s="122" t="s">
        <v>338</v>
      </c>
      <c r="E89" s="5" t="s">
        <v>506</v>
      </c>
      <c r="F89" s="21">
        <v>65</v>
      </c>
      <c r="G89" s="21">
        <v>0</v>
      </c>
      <c r="H89" s="21">
        <f t="shared" si="0"/>
        <v>0</v>
      </c>
      <c r="I89" s="21">
        <f t="shared" si="1"/>
        <v>0</v>
      </c>
      <c r="J89" s="21">
        <f t="shared" si="2"/>
        <v>0</v>
      </c>
      <c r="K89" s="21">
        <v>0</v>
      </c>
      <c r="L89" s="21">
        <f t="shared" si="3"/>
        <v>0</v>
      </c>
      <c r="M89" s="34" t="s">
        <v>531</v>
      </c>
      <c r="Z89" s="38">
        <f t="shared" si="4"/>
        <v>0</v>
      </c>
      <c r="AB89" s="38">
        <f t="shared" si="5"/>
        <v>0</v>
      </c>
      <c r="AC89" s="38">
        <f t="shared" si="6"/>
        <v>0</v>
      </c>
      <c r="AD89" s="38">
        <f t="shared" si="7"/>
        <v>0</v>
      </c>
      <c r="AE89" s="38">
        <f t="shared" si="8"/>
        <v>0</v>
      </c>
      <c r="AF89" s="38">
        <f t="shared" si="9"/>
        <v>0</v>
      </c>
      <c r="AG89" s="38">
        <f t="shared" si="10"/>
        <v>0</v>
      </c>
      <c r="AH89" s="38">
        <f t="shared" si="11"/>
        <v>0</v>
      </c>
      <c r="AI89" s="30" t="s">
        <v>135</v>
      </c>
      <c r="AJ89" s="21">
        <f t="shared" si="12"/>
        <v>0</v>
      </c>
      <c r="AK89" s="21">
        <f t="shared" si="13"/>
        <v>0</v>
      </c>
      <c r="AL89" s="21">
        <f t="shared" si="14"/>
        <v>0</v>
      </c>
      <c r="AN89" s="38">
        <v>15</v>
      </c>
      <c r="AO89" s="38">
        <f>G89*0</f>
        <v>0</v>
      </c>
      <c r="AP89" s="38">
        <f>G89*(1-0)</f>
        <v>0</v>
      </c>
      <c r="AQ89" s="34" t="s">
        <v>7</v>
      </c>
      <c r="AV89" s="38">
        <f t="shared" si="15"/>
        <v>0</v>
      </c>
      <c r="AW89" s="38">
        <f t="shared" si="16"/>
        <v>0</v>
      </c>
      <c r="AX89" s="38">
        <f t="shared" si="17"/>
        <v>0</v>
      </c>
      <c r="AY89" s="39" t="s">
        <v>547</v>
      </c>
      <c r="AZ89" s="39" t="s">
        <v>572</v>
      </c>
      <c r="BA89" s="30" t="s">
        <v>588</v>
      </c>
      <c r="BC89" s="38">
        <f t="shared" si="18"/>
        <v>0</v>
      </c>
      <c r="BD89" s="38">
        <f t="shared" si="19"/>
        <v>0</v>
      </c>
      <c r="BE89" s="38">
        <v>0</v>
      </c>
      <c r="BF89" s="38">
        <f t="shared" si="20"/>
        <v>0</v>
      </c>
      <c r="BH89" s="21">
        <f t="shared" si="21"/>
        <v>0</v>
      </c>
      <c r="BI89" s="21">
        <f t="shared" si="22"/>
        <v>0</v>
      </c>
      <c r="BJ89" s="21">
        <f t="shared" si="23"/>
        <v>0</v>
      </c>
    </row>
    <row r="90" spans="1:62" ht="12.75">
      <c r="A90" s="5" t="s">
        <v>35</v>
      </c>
      <c r="B90" s="5" t="s">
        <v>135</v>
      </c>
      <c r="C90" s="5" t="s">
        <v>168</v>
      </c>
      <c r="D90" s="122" t="s">
        <v>339</v>
      </c>
      <c r="E90" s="5" t="s">
        <v>506</v>
      </c>
      <c r="F90" s="21">
        <v>65</v>
      </c>
      <c r="G90" s="21">
        <v>0</v>
      </c>
      <c r="H90" s="21">
        <f t="shared" si="0"/>
        <v>0</v>
      </c>
      <c r="I90" s="21">
        <f t="shared" si="1"/>
        <v>0</v>
      </c>
      <c r="J90" s="21">
        <f t="shared" si="2"/>
        <v>0</v>
      </c>
      <c r="K90" s="21">
        <v>0</v>
      </c>
      <c r="L90" s="21">
        <f t="shared" si="3"/>
        <v>0</v>
      </c>
      <c r="M90" s="34" t="s">
        <v>531</v>
      </c>
      <c r="Z90" s="38">
        <f t="shared" si="4"/>
        <v>0</v>
      </c>
      <c r="AB90" s="38">
        <f t="shared" si="5"/>
        <v>0</v>
      </c>
      <c r="AC90" s="38">
        <f t="shared" si="6"/>
        <v>0</v>
      </c>
      <c r="AD90" s="38">
        <f t="shared" si="7"/>
        <v>0</v>
      </c>
      <c r="AE90" s="38">
        <f t="shared" si="8"/>
        <v>0</v>
      </c>
      <c r="AF90" s="38">
        <f t="shared" si="9"/>
        <v>0</v>
      </c>
      <c r="AG90" s="38">
        <f t="shared" si="10"/>
        <v>0</v>
      </c>
      <c r="AH90" s="38">
        <f t="shared" si="11"/>
        <v>0</v>
      </c>
      <c r="AI90" s="30" t="s">
        <v>135</v>
      </c>
      <c r="AJ90" s="21">
        <f t="shared" si="12"/>
        <v>0</v>
      </c>
      <c r="AK90" s="21">
        <f t="shared" si="13"/>
        <v>0</v>
      </c>
      <c r="AL90" s="21">
        <f t="shared" si="14"/>
        <v>0</v>
      </c>
      <c r="AN90" s="38">
        <v>15</v>
      </c>
      <c r="AO90" s="38">
        <f>G90*0.0170212765957447</f>
        <v>0</v>
      </c>
      <c r="AP90" s="38">
        <f>G90*(1-0.0170212765957447)</f>
        <v>0</v>
      </c>
      <c r="AQ90" s="34" t="s">
        <v>7</v>
      </c>
      <c r="AV90" s="38">
        <f t="shared" si="15"/>
        <v>0</v>
      </c>
      <c r="AW90" s="38">
        <f t="shared" si="16"/>
        <v>0</v>
      </c>
      <c r="AX90" s="38">
        <f t="shared" si="17"/>
        <v>0</v>
      </c>
      <c r="AY90" s="39" t="s">
        <v>547</v>
      </c>
      <c r="AZ90" s="39" t="s">
        <v>572</v>
      </c>
      <c r="BA90" s="30" t="s">
        <v>588</v>
      </c>
      <c r="BC90" s="38">
        <f t="shared" si="18"/>
        <v>0</v>
      </c>
      <c r="BD90" s="38">
        <f t="shared" si="19"/>
        <v>0</v>
      </c>
      <c r="BE90" s="38">
        <v>0</v>
      </c>
      <c r="BF90" s="38">
        <f t="shared" si="20"/>
        <v>0</v>
      </c>
      <c r="BH90" s="21">
        <f t="shared" si="21"/>
        <v>0</v>
      </c>
      <c r="BI90" s="21">
        <f t="shared" si="22"/>
        <v>0</v>
      </c>
      <c r="BJ90" s="21">
        <f t="shared" si="23"/>
        <v>0</v>
      </c>
    </row>
    <row r="91" spans="1:62" ht="12.75">
      <c r="A91" s="7" t="s">
        <v>36</v>
      </c>
      <c r="B91" s="7" t="s">
        <v>135</v>
      </c>
      <c r="C91" s="7" t="s">
        <v>169</v>
      </c>
      <c r="D91" s="125" t="s">
        <v>340</v>
      </c>
      <c r="E91" s="7" t="s">
        <v>511</v>
      </c>
      <c r="F91" s="23">
        <v>65</v>
      </c>
      <c r="G91" s="23">
        <v>0</v>
      </c>
      <c r="H91" s="23">
        <f t="shared" si="0"/>
        <v>0</v>
      </c>
      <c r="I91" s="23">
        <f t="shared" si="1"/>
        <v>0</v>
      </c>
      <c r="J91" s="23">
        <f t="shared" si="2"/>
        <v>0</v>
      </c>
      <c r="K91" s="23">
        <v>0</v>
      </c>
      <c r="L91" s="23">
        <f t="shared" si="3"/>
        <v>0</v>
      </c>
      <c r="M91" s="35" t="s">
        <v>531</v>
      </c>
      <c r="Z91" s="38">
        <f t="shared" si="4"/>
        <v>0</v>
      </c>
      <c r="AB91" s="38">
        <f t="shared" si="5"/>
        <v>0</v>
      </c>
      <c r="AC91" s="38">
        <f t="shared" si="6"/>
        <v>0</v>
      </c>
      <c r="AD91" s="38">
        <f t="shared" si="7"/>
        <v>0</v>
      </c>
      <c r="AE91" s="38">
        <f t="shared" si="8"/>
        <v>0</v>
      </c>
      <c r="AF91" s="38">
        <f t="shared" si="9"/>
        <v>0</v>
      </c>
      <c r="AG91" s="38">
        <f t="shared" si="10"/>
        <v>0</v>
      </c>
      <c r="AH91" s="38">
        <f t="shared" si="11"/>
        <v>0</v>
      </c>
      <c r="AI91" s="30" t="s">
        <v>135</v>
      </c>
      <c r="AJ91" s="23">
        <f t="shared" si="12"/>
        <v>0</v>
      </c>
      <c r="AK91" s="23">
        <f t="shared" si="13"/>
        <v>0</v>
      </c>
      <c r="AL91" s="23">
        <f t="shared" si="14"/>
        <v>0</v>
      </c>
      <c r="AN91" s="38">
        <v>15</v>
      </c>
      <c r="AO91" s="38">
        <f>G91*1</f>
        <v>0</v>
      </c>
      <c r="AP91" s="38">
        <f>G91*(1-1)</f>
        <v>0</v>
      </c>
      <c r="AQ91" s="35" t="s">
        <v>7</v>
      </c>
      <c r="AV91" s="38">
        <f t="shared" si="15"/>
        <v>0</v>
      </c>
      <c r="AW91" s="38">
        <f t="shared" si="16"/>
        <v>0</v>
      </c>
      <c r="AX91" s="38">
        <f t="shared" si="17"/>
        <v>0</v>
      </c>
      <c r="AY91" s="39" t="s">
        <v>547</v>
      </c>
      <c r="AZ91" s="39" t="s">
        <v>572</v>
      </c>
      <c r="BA91" s="30" t="s">
        <v>588</v>
      </c>
      <c r="BC91" s="38">
        <f t="shared" si="18"/>
        <v>0</v>
      </c>
      <c r="BD91" s="38">
        <f t="shared" si="19"/>
        <v>0</v>
      </c>
      <c r="BE91" s="38">
        <v>0</v>
      </c>
      <c r="BF91" s="38">
        <f t="shared" si="20"/>
        <v>0</v>
      </c>
      <c r="BH91" s="23">
        <f t="shared" si="21"/>
        <v>0</v>
      </c>
      <c r="BI91" s="23">
        <f t="shared" si="22"/>
        <v>0</v>
      </c>
      <c r="BJ91" s="23">
        <f t="shared" si="23"/>
        <v>0</v>
      </c>
    </row>
    <row r="92" spans="1:62" ht="12.75">
      <c r="A92" s="5" t="s">
        <v>37</v>
      </c>
      <c r="B92" s="5" t="s">
        <v>135</v>
      </c>
      <c r="C92" s="5" t="s">
        <v>170</v>
      </c>
      <c r="D92" s="122" t="s">
        <v>341</v>
      </c>
      <c r="E92" s="5" t="s">
        <v>506</v>
      </c>
      <c r="F92" s="21">
        <v>3</v>
      </c>
      <c r="G92" s="21">
        <v>0</v>
      </c>
      <c r="H92" s="21">
        <f t="shared" si="0"/>
        <v>0</v>
      </c>
      <c r="I92" s="21">
        <f t="shared" si="1"/>
        <v>0</v>
      </c>
      <c r="J92" s="21">
        <f t="shared" si="2"/>
        <v>0</v>
      </c>
      <c r="K92" s="21">
        <v>0</v>
      </c>
      <c r="L92" s="21">
        <f t="shared" si="3"/>
        <v>0</v>
      </c>
      <c r="M92" s="34" t="s">
        <v>531</v>
      </c>
      <c r="Z92" s="38">
        <f t="shared" si="4"/>
        <v>0</v>
      </c>
      <c r="AB92" s="38">
        <f t="shared" si="5"/>
        <v>0</v>
      </c>
      <c r="AC92" s="38">
        <f t="shared" si="6"/>
        <v>0</v>
      </c>
      <c r="AD92" s="38">
        <f t="shared" si="7"/>
        <v>0</v>
      </c>
      <c r="AE92" s="38">
        <f t="shared" si="8"/>
        <v>0</v>
      </c>
      <c r="AF92" s="38">
        <f t="shared" si="9"/>
        <v>0</v>
      </c>
      <c r="AG92" s="38">
        <f t="shared" si="10"/>
        <v>0</v>
      </c>
      <c r="AH92" s="38">
        <f t="shared" si="11"/>
        <v>0</v>
      </c>
      <c r="AI92" s="30" t="s">
        <v>135</v>
      </c>
      <c r="AJ92" s="21">
        <f t="shared" si="12"/>
        <v>0</v>
      </c>
      <c r="AK92" s="21">
        <f t="shared" si="13"/>
        <v>0</v>
      </c>
      <c r="AL92" s="21">
        <f t="shared" si="14"/>
        <v>0</v>
      </c>
      <c r="AN92" s="38">
        <v>15</v>
      </c>
      <c r="AO92" s="38">
        <f>G92*0.00640569395017794</f>
        <v>0</v>
      </c>
      <c r="AP92" s="38">
        <f>G92*(1-0.00640569395017794)</f>
        <v>0</v>
      </c>
      <c r="AQ92" s="34" t="s">
        <v>7</v>
      </c>
      <c r="AV92" s="38">
        <f t="shared" si="15"/>
        <v>0</v>
      </c>
      <c r="AW92" s="38">
        <f t="shared" si="16"/>
        <v>0</v>
      </c>
      <c r="AX92" s="38">
        <f t="shared" si="17"/>
        <v>0</v>
      </c>
      <c r="AY92" s="39" t="s">
        <v>547</v>
      </c>
      <c r="AZ92" s="39" t="s">
        <v>572</v>
      </c>
      <c r="BA92" s="30" t="s">
        <v>588</v>
      </c>
      <c r="BC92" s="38">
        <f t="shared" si="18"/>
        <v>0</v>
      </c>
      <c r="BD92" s="38">
        <f t="shared" si="19"/>
        <v>0</v>
      </c>
      <c r="BE92" s="38">
        <v>0</v>
      </c>
      <c r="BF92" s="38">
        <f t="shared" si="20"/>
        <v>0</v>
      </c>
      <c r="BH92" s="21">
        <f t="shared" si="21"/>
        <v>0</v>
      </c>
      <c r="BI92" s="21">
        <f t="shared" si="22"/>
        <v>0</v>
      </c>
      <c r="BJ92" s="21">
        <f t="shared" si="23"/>
        <v>0</v>
      </c>
    </row>
    <row r="93" spans="1:62" ht="38.25">
      <c r="A93" s="7" t="s">
        <v>38</v>
      </c>
      <c r="B93" s="7" t="s">
        <v>135</v>
      </c>
      <c r="C93" s="7" t="s">
        <v>171</v>
      </c>
      <c r="D93" s="125" t="s">
        <v>342</v>
      </c>
      <c r="E93" s="7" t="s">
        <v>511</v>
      </c>
      <c r="F93" s="23">
        <v>1</v>
      </c>
      <c r="G93" s="23">
        <v>0</v>
      </c>
      <c r="H93" s="23">
        <f t="shared" si="0"/>
        <v>0</v>
      </c>
      <c r="I93" s="23">
        <f t="shared" si="1"/>
        <v>0</v>
      </c>
      <c r="J93" s="23">
        <f t="shared" si="2"/>
        <v>0</v>
      </c>
      <c r="K93" s="23">
        <v>0.005</v>
      </c>
      <c r="L93" s="23">
        <f t="shared" si="3"/>
        <v>0.005</v>
      </c>
      <c r="M93" s="35" t="s">
        <v>532</v>
      </c>
      <c r="Z93" s="38">
        <f t="shared" si="4"/>
        <v>0</v>
      </c>
      <c r="AB93" s="38">
        <f t="shared" si="5"/>
        <v>0</v>
      </c>
      <c r="AC93" s="38">
        <f t="shared" si="6"/>
        <v>0</v>
      </c>
      <c r="AD93" s="38">
        <f t="shared" si="7"/>
        <v>0</v>
      </c>
      <c r="AE93" s="38">
        <f t="shared" si="8"/>
        <v>0</v>
      </c>
      <c r="AF93" s="38">
        <f t="shared" si="9"/>
        <v>0</v>
      </c>
      <c r="AG93" s="38">
        <f t="shared" si="10"/>
        <v>0</v>
      </c>
      <c r="AH93" s="38">
        <f t="shared" si="11"/>
        <v>0</v>
      </c>
      <c r="AI93" s="30" t="s">
        <v>135</v>
      </c>
      <c r="AJ93" s="23">
        <f t="shared" si="12"/>
        <v>0</v>
      </c>
      <c r="AK93" s="23">
        <f t="shared" si="13"/>
        <v>0</v>
      </c>
      <c r="AL93" s="23">
        <f t="shared" si="14"/>
        <v>0</v>
      </c>
      <c r="AN93" s="38">
        <v>15</v>
      </c>
      <c r="AO93" s="38">
        <f>G93*1</f>
        <v>0</v>
      </c>
      <c r="AP93" s="38">
        <f>G93*(1-1)</f>
        <v>0</v>
      </c>
      <c r="AQ93" s="35" t="s">
        <v>7</v>
      </c>
      <c r="AV93" s="38">
        <f t="shared" si="15"/>
        <v>0</v>
      </c>
      <c r="AW93" s="38">
        <f t="shared" si="16"/>
        <v>0</v>
      </c>
      <c r="AX93" s="38">
        <f t="shared" si="17"/>
        <v>0</v>
      </c>
      <c r="AY93" s="39" t="s">
        <v>547</v>
      </c>
      <c r="AZ93" s="39" t="s">
        <v>572</v>
      </c>
      <c r="BA93" s="30" t="s">
        <v>588</v>
      </c>
      <c r="BC93" s="38">
        <f t="shared" si="18"/>
        <v>0</v>
      </c>
      <c r="BD93" s="38">
        <f t="shared" si="19"/>
        <v>0</v>
      </c>
      <c r="BE93" s="38">
        <v>0</v>
      </c>
      <c r="BF93" s="38">
        <f t="shared" si="20"/>
        <v>0.005</v>
      </c>
      <c r="BH93" s="23">
        <f t="shared" si="21"/>
        <v>0</v>
      </c>
      <c r="BI93" s="23">
        <f t="shared" si="22"/>
        <v>0</v>
      </c>
      <c r="BJ93" s="23">
        <f t="shared" si="23"/>
        <v>0</v>
      </c>
    </row>
    <row r="94" spans="1:62" ht="25.5">
      <c r="A94" s="7" t="s">
        <v>39</v>
      </c>
      <c r="B94" s="7" t="s">
        <v>135</v>
      </c>
      <c r="C94" s="7" t="s">
        <v>172</v>
      </c>
      <c r="D94" s="125" t="s">
        <v>343</v>
      </c>
      <c r="E94" s="7" t="s">
        <v>511</v>
      </c>
      <c r="F94" s="23">
        <v>1</v>
      </c>
      <c r="G94" s="23">
        <v>0</v>
      </c>
      <c r="H94" s="23">
        <f t="shared" si="0"/>
        <v>0</v>
      </c>
      <c r="I94" s="23">
        <f t="shared" si="1"/>
        <v>0</v>
      </c>
      <c r="J94" s="23">
        <f t="shared" si="2"/>
        <v>0</v>
      </c>
      <c r="K94" s="23">
        <v>0.005</v>
      </c>
      <c r="L94" s="23">
        <f t="shared" si="3"/>
        <v>0.005</v>
      </c>
      <c r="M94" s="35" t="s">
        <v>532</v>
      </c>
      <c r="Z94" s="38">
        <f t="shared" si="4"/>
        <v>0</v>
      </c>
      <c r="AB94" s="38">
        <f t="shared" si="5"/>
        <v>0</v>
      </c>
      <c r="AC94" s="38">
        <f t="shared" si="6"/>
        <v>0</v>
      </c>
      <c r="AD94" s="38">
        <f t="shared" si="7"/>
        <v>0</v>
      </c>
      <c r="AE94" s="38">
        <f t="shared" si="8"/>
        <v>0</v>
      </c>
      <c r="AF94" s="38">
        <f t="shared" si="9"/>
        <v>0</v>
      </c>
      <c r="AG94" s="38">
        <f t="shared" si="10"/>
        <v>0</v>
      </c>
      <c r="AH94" s="38">
        <f t="shared" si="11"/>
        <v>0</v>
      </c>
      <c r="AI94" s="30" t="s">
        <v>135</v>
      </c>
      <c r="AJ94" s="23">
        <f t="shared" si="12"/>
        <v>0</v>
      </c>
      <c r="AK94" s="23">
        <f t="shared" si="13"/>
        <v>0</v>
      </c>
      <c r="AL94" s="23">
        <f t="shared" si="14"/>
        <v>0</v>
      </c>
      <c r="AN94" s="38">
        <v>15</v>
      </c>
      <c r="AO94" s="38">
        <f>G94*1</f>
        <v>0</v>
      </c>
      <c r="AP94" s="38">
        <f>G94*(1-1)</f>
        <v>0</v>
      </c>
      <c r="AQ94" s="35" t="s">
        <v>7</v>
      </c>
      <c r="AV94" s="38">
        <f t="shared" si="15"/>
        <v>0</v>
      </c>
      <c r="AW94" s="38">
        <f t="shared" si="16"/>
        <v>0</v>
      </c>
      <c r="AX94" s="38">
        <f t="shared" si="17"/>
        <v>0</v>
      </c>
      <c r="AY94" s="39" t="s">
        <v>547</v>
      </c>
      <c r="AZ94" s="39" t="s">
        <v>572</v>
      </c>
      <c r="BA94" s="30" t="s">
        <v>588</v>
      </c>
      <c r="BC94" s="38">
        <f t="shared" si="18"/>
        <v>0</v>
      </c>
      <c r="BD94" s="38">
        <f t="shared" si="19"/>
        <v>0</v>
      </c>
      <c r="BE94" s="38">
        <v>0</v>
      </c>
      <c r="BF94" s="38">
        <f t="shared" si="20"/>
        <v>0.005</v>
      </c>
      <c r="BH94" s="23">
        <f t="shared" si="21"/>
        <v>0</v>
      </c>
      <c r="BI94" s="23">
        <f t="shared" si="22"/>
        <v>0</v>
      </c>
      <c r="BJ94" s="23">
        <f t="shared" si="23"/>
        <v>0</v>
      </c>
    </row>
    <row r="95" spans="1:62" ht="25.5">
      <c r="A95" s="7" t="s">
        <v>40</v>
      </c>
      <c r="B95" s="7" t="s">
        <v>135</v>
      </c>
      <c r="C95" s="7" t="s">
        <v>171</v>
      </c>
      <c r="D95" s="125" t="s">
        <v>344</v>
      </c>
      <c r="E95" s="7" t="s">
        <v>511</v>
      </c>
      <c r="F95" s="23">
        <v>1</v>
      </c>
      <c r="G95" s="23">
        <v>0</v>
      </c>
      <c r="H95" s="23">
        <f t="shared" si="0"/>
        <v>0</v>
      </c>
      <c r="I95" s="23">
        <f t="shared" si="1"/>
        <v>0</v>
      </c>
      <c r="J95" s="23">
        <f t="shared" si="2"/>
        <v>0</v>
      </c>
      <c r="K95" s="23">
        <v>0.005</v>
      </c>
      <c r="L95" s="23">
        <f t="shared" si="3"/>
        <v>0.005</v>
      </c>
      <c r="M95" s="35" t="s">
        <v>532</v>
      </c>
      <c r="Z95" s="38">
        <f t="shared" si="4"/>
        <v>0</v>
      </c>
      <c r="AB95" s="38">
        <f t="shared" si="5"/>
        <v>0</v>
      </c>
      <c r="AC95" s="38">
        <f t="shared" si="6"/>
        <v>0</v>
      </c>
      <c r="AD95" s="38">
        <f t="shared" si="7"/>
        <v>0</v>
      </c>
      <c r="AE95" s="38">
        <f t="shared" si="8"/>
        <v>0</v>
      </c>
      <c r="AF95" s="38">
        <f t="shared" si="9"/>
        <v>0</v>
      </c>
      <c r="AG95" s="38">
        <f t="shared" si="10"/>
        <v>0</v>
      </c>
      <c r="AH95" s="38">
        <f t="shared" si="11"/>
        <v>0</v>
      </c>
      <c r="AI95" s="30" t="s">
        <v>135</v>
      </c>
      <c r="AJ95" s="23">
        <f t="shared" si="12"/>
        <v>0</v>
      </c>
      <c r="AK95" s="23">
        <f t="shared" si="13"/>
        <v>0</v>
      </c>
      <c r="AL95" s="23">
        <f t="shared" si="14"/>
        <v>0</v>
      </c>
      <c r="AN95" s="38">
        <v>15</v>
      </c>
      <c r="AO95" s="38">
        <f>G95*1</f>
        <v>0</v>
      </c>
      <c r="AP95" s="38">
        <f>G95*(1-1)</f>
        <v>0</v>
      </c>
      <c r="AQ95" s="35" t="s">
        <v>7</v>
      </c>
      <c r="AV95" s="38">
        <f t="shared" si="15"/>
        <v>0</v>
      </c>
      <c r="AW95" s="38">
        <f t="shared" si="16"/>
        <v>0</v>
      </c>
      <c r="AX95" s="38">
        <f t="shared" si="17"/>
        <v>0</v>
      </c>
      <c r="AY95" s="39" t="s">
        <v>547</v>
      </c>
      <c r="AZ95" s="39" t="s">
        <v>572</v>
      </c>
      <c r="BA95" s="30" t="s">
        <v>588</v>
      </c>
      <c r="BC95" s="38">
        <f t="shared" si="18"/>
        <v>0</v>
      </c>
      <c r="BD95" s="38">
        <f t="shared" si="19"/>
        <v>0</v>
      </c>
      <c r="BE95" s="38">
        <v>0</v>
      </c>
      <c r="BF95" s="38">
        <f t="shared" si="20"/>
        <v>0.005</v>
      </c>
      <c r="BH95" s="23">
        <f t="shared" si="21"/>
        <v>0</v>
      </c>
      <c r="BI95" s="23">
        <f t="shared" si="22"/>
        <v>0</v>
      </c>
      <c r="BJ95" s="23">
        <f t="shared" si="23"/>
        <v>0</v>
      </c>
    </row>
    <row r="96" spans="1:62" ht="12.75">
      <c r="A96" s="5" t="s">
        <v>41</v>
      </c>
      <c r="B96" s="5" t="s">
        <v>135</v>
      </c>
      <c r="C96" s="5" t="s">
        <v>173</v>
      </c>
      <c r="D96" s="122" t="s">
        <v>345</v>
      </c>
      <c r="E96" s="5" t="s">
        <v>506</v>
      </c>
      <c r="F96" s="21">
        <v>56</v>
      </c>
      <c r="G96" s="21">
        <v>0</v>
      </c>
      <c r="H96" s="21">
        <f t="shared" si="0"/>
        <v>0</v>
      </c>
      <c r="I96" s="21">
        <f t="shared" si="1"/>
        <v>0</v>
      </c>
      <c r="J96" s="21">
        <f t="shared" si="2"/>
        <v>0</v>
      </c>
      <c r="K96" s="21">
        <v>0</v>
      </c>
      <c r="L96" s="21">
        <f t="shared" si="3"/>
        <v>0</v>
      </c>
      <c r="M96" s="34" t="s">
        <v>531</v>
      </c>
      <c r="Z96" s="38">
        <f t="shared" si="4"/>
        <v>0</v>
      </c>
      <c r="AB96" s="38">
        <f t="shared" si="5"/>
        <v>0</v>
      </c>
      <c r="AC96" s="38">
        <f t="shared" si="6"/>
        <v>0</v>
      </c>
      <c r="AD96" s="38">
        <f t="shared" si="7"/>
        <v>0</v>
      </c>
      <c r="AE96" s="38">
        <f t="shared" si="8"/>
        <v>0</v>
      </c>
      <c r="AF96" s="38">
        <f t="shared" si="9"/>
        <v>0</v>
      </c>
      <c r="AG96" s="38">
        <f t="shared" si="10"/>
        <v>0</v>
      </c>
      <c r="AH96" s="38">
        <f t="shared" si="11"/>
        <v>0</v>
      </c>
      <c r="AI96" s="30" t="s">
        <v>135</v>
      </c>
      <c r="AJ96" s="21">
        <f t="shared" si="12"/>
        <v>0</v>
      </c>
      <c r="AK96" s="21">
        <f t="shared" si="13"/>
        <v>0</v>
      </c>
      <c r="AL96" s="21">
        <f t="shared" si="14"/>
        <v>0</v>
      </c>
      <c r="AN96" s="38">
        <v>15</v>
      </c>
      <c r="AO96" s="38">
        <f>G96*0.0113218991137918</f>
        <v>0</v>
      </c>
      <c r="AP96" s="38">
        <f>G96*(1-0.0113218991137918)</f>
        <v>0</v>
      </c>
      <c r="AQ96" s="34" t="s">
        <v>7</v>
      </c>
      <c r="AV96" s="38">
        <f t="shared" si="15"/>
        <v>0</v>
      </c>
      <c r="AW96" s="38">
        <f t="shared" si="16"/>
        <v>0</v>
      </c>
      <c r="AX96" s="38">
        <f t="shared" si="17"/>
        <v>0</v>
      </c>
      <c r="AY96" s="39" t="s">
        <v>547</v>
      </c>
      <c r="AZ96" s="39" t="s">
        <v>572</v>
      </c>
      <c r="BA96" s="30" t="s">
        <v>588</v>
      </c>
      <c r="BC96" s="38">
        <f t="shared" si="18"/>
        <v>0</v>
      </c>
      <c r="BD96" s="38">
        <f t="shared" si="19"/>
        <v>0</v>
      </c>
      <c r="BE96" s="38">
        <v>0</v>
      </c>
      <c r="BF96" s="38">
        <f t="shared" si="20"/>
        <v>0</v>
      </c>
      <c r="BH96" s="21">
        <f t="shared" si="21"/>
        <v>0</v>
      </c>
      <c r="BI96" s="21">
        <f t="shared" si="22"/>
        <v>0</v>
      </c>
      <c r="BJ96" s="21">
        <f t="shared" si="23"/>
        <v>0</v>
      </c>
    </row>
    <row r="97" spans="3:13" ht="12.75">
      <c r="C97" s="16" t="s">
        <v>131</v>
      </c>
      <c r="D97" s="85" t="s">
        <v>346</v>
      </c>
      <c r="E97" s="86"/>
      <c r="F97" s="86"/>
      <c r="G97" s="86"/>
      <c r="H97" s="86"/>
      <c r="I97" s="86"/>
      <c r="J97" s="86"/>
      <c r="K97" s="86"/>
      <c r="L97" s="86"/>
      <c r="M97" s="86"/>
    </row>
    <row r="98" spans="1:62" ht="25.5">
      <c r="A98" s="7" t="s">
        <v>42</v>
      </c>
      <c r="B98" s="7" t="s">
        <v>135</v>
      </c>
      <c r="C98" s="7" t="s">
        <v>174</v>
      </c>
      <c r="D98" s="125" t="s">
        <v>347</v>
      </c>
      <c r="E98" s="7" t="s">
        <v>506</v>
      </c>
      <c r="F98" s="23">
        <v>5</v>
      </c>
      <c r="G98" s="23">
        <v>0</v>
      </c>
      <c r="H98" s="23">
        <f>F98*AO98</f>
        <v>0</v>
      </c>
      <c r="I98" s="23">
        <f>F98*AP98</f>
        <v>0</v>
      </c>
      <c r="J98" s="23">
        <f>F98*G98</f>
        <v>0</v>
      </c>
      <c r="K98" s="23">
        <v>0.002</v>
      </c>
      <c r="L98" s="23">
        <f>F98*K98</f>
        <v>0.01</v>
      </c>
      <c r="M98" s="35" t="s">
        <v>531</v>
      </c>
      <c r="Z98" s="38">
        <f>IF(AQ98="5",BJ98,0)</f>
        <v>0</v>
      </c>
      <c r="AB98" s="38">
        <f>IF(AQ98="1",BH98,0)</f>
        <v>0</v>
      </c>
      <c r="AC98" s="38">
        <f>IF(AQ98="1",BI98,0)</f>
        <v>0</v>
      </c>
      <c r="AD98" s="38">
        <f>IF(AQ98="7",BH98,0)</f>
        <v>0</v>
      </c>
      <c r="AE98" s="38">
        <f>IF(AQ98="7",BI98,0)</f>
        <v>0</v>
      </c>
      <c r="AF98" s="38">
        <f>IF(AQ98="2",BH98,0)</f>
        <v>0</v>
      </c>
      <c r="AG98" s="38">
        <f>IF(AQ98="2",BI98,0)</f>
        <v>0</v>
      </c>
      <c r="AH98" s="38">
        <f>IF(AQ98="0",BJ98,0)</f>
        <v>0</v>
      </c>
      <c r="AI98" s="30" t="s">
        <v>135</v>
      </c>
      <c r="AJ98" s="23">
        <f>IF(AN98=0,J98,0)</f>
        <v>0</v>
      </c>
      <c r="AK98" s="23">
        <f>IF(AN98=15,J98,0)</f>
        <v>0</v>
      </c>
      <c r="AL98" s="23">
        <f>IF(AN98=21,J98,0)</f>
        <v>0</v>
      </c>
      <c r="AN98" s="38">
        <v>15</v>
      </c>
      <c r="AO98" s="38">
        <f>G98*1</f>
        <v>0</v>
      </c>
      <c r="AP98" s="38">
        <f>G98*(1-1)</f>
        <v>0</v>
      </c>
      <c r="AQ98" s="35" t="s">
        <v>7</v>
      </c>
      <c r="AV98" s="38">
        <f>AW98+AX98</f>
        <v>0</v>
      </c>
      <c r="AW98" s="38">
        <f>F98*AO98</f>
        <v>0</v>
      </c>
      <c r="AX98" s="38">
        <f>F98*AP98</f>
        <v>0</v>
      </c>
      <c r="AY98" s="39" t="s">
        <v>547</v>
      </c>
      <c r="AZ98" s="39" t="s">
        <v>572</v>
      </c>
      <c r="BA98" s="30" t="s">
        <v>588</v>
      </c>
      <c r="BC98" s="38">
        <f>AW98+AX98</f>
        <v>0</v>
      </c>
      <c r="BD98" s="38">
        <f>G98/(100-BE98)*100</f>
        <v>0</v>
      </c>
      <c r="BE98" s="38">
        <v>0</v>
      </c>
      <c r="BF98" s="38">
        <f>L98</f>
        <v>0.01</v>
      </c>
      <c r="BH98" s="23">
        <f>F98*AO98</f>
        <v>0</v>
      </c>
      <c r="BI98" s="23">
        <f>F98*AP98</f>
        <v>0</v>
      </c>
      <c r="BJ98" s="23">
        <f>F98*G98</f>
        <v>0</v>
      </c>
    </row>
    <row r="99" spans="3:13" ht="12.75">
      <c r="C99" s="17" t="s">
        <v>175</v>
      </c>
      <c r="D99" s="87" t="s">
        <v>348</v>
      </c>
      <c r="E99" s="88"/>
      <c r="F99" s="88"/>
      <c r="G99" s="88"/>
      <c r="H99" s="88"/>
      <c r="I99" s="88"/>
      <c r="J99" s="88"/>
      <c r="K99" s="88"/>
      <c r="L99" s="88"/>
      <c r="M99" s="88"/>
    </row>
    <row r="100" spans="1:62" ht="25.5">
      <c r="A100" s="7" t="s">
        <v>43</v>
      </c>
      <c r="B100" s="7" t="s">
        <v>135</v>
      </c>
      <c r="C100" s="7" t="s">
        <v>176</v>
      </c>
      <c r="D100" s="125" t="s">
        <v>349</v>
      </c>
      <c r="E100" s="7" t="s">
        <v>506</v>
      </c>
      <c r="F100" s="23">
        <v>4</v>
      </c>
      <c r="G100" s="23">
        <v>0</v>
      </c>
      <c r="H100" s="23">
        <f>F100*AO100</f>
        <v>0</v>
      </c>
      <c r="I100" s="23">
        <f>F100*AP100</f>
        <v>0</v>
      </c>
      <c r="J100" s="23">
        <f>F100*G100</f>
        <v>0</v>
      </c>
      <c r="K100" s="23">
        <v>0.002</v>
      </c>
      <c r="L100" s="23">
        <f>F100*K100</f>
        <v>0.008</v>
      </c>
      <c r="M100" s="35" t="s">
        <v>531</v>
      </c>
      <c r="Z100" s="38">
        <f>IF(AQ100="5",BJ100,0)</f>
        <v>0</v>
      </c>
      <c r="AB100" s="38">
        <f>IF(AQ100="1",BH100,0)</f>
        <v>0</v>
      </c>
      <c r="AC100" s="38">
        <f>IF(AQ100="1",BI100,0)</f>
        <v>0</v>
      </c>
      <c r="AD100" s="38">
        <f>IF(AQ100="7",BH100,0)</f>
        <v>0</v>
      </c>
      <c r="AE100" s="38">
        <f>IF(AQ100="7",BI100,0)</f>
        <v>0</v>
      </c>
      <c r="AF100" s="38">
        <f>IF(AQ100="2",BH100,0)</f>
        <v>0</v>
      </c>
      <c r="AG100" s="38">
        <f>IF(AQ100="2",BI100,0)</f>
        <v>0</v>
      </c>
      <c r="AH100" s="38">
        <f>IF(AQ100="0",BJ100,0)</f>
        <v>0</v>
      </c>
      <c r="AI100" s="30" t="s">
        <v>135</v>
      </c>
      <c r="AJ100" s="23">
        <f>IF(AN100=0,J100,0)</f>
        <v>0</v>
      </c>
      <c r="AK100" s="23">
        <f>IF(AN100=15,J100,0)</f>
        <v>0</v>
      </c>
      <c r="AL100" s="23">
        <f>IF(AN100=21,J100,0)</f>
        <v>0</v>
      </c>
      <c r="AN100" s="38">
        <v>15</v>
      </c>
      <c r="AO100" s="38">
        <f>G100*1</f>
        <v>0</v>
      </c>
      <c r="AP100" s="38">
        <f>G100*(1-1)</f>
        <v>0</v>
      </c>
      <c r="AQ100" s="35" t="s">
        <v>7</v>
      </c>
      <c r="AV100" s="38">
        <f>AW100+AX100</f>
        <v>0</v>
      </c>
      <c r="AW100" s="38">
        <f>F100*AO100</f>
        <v>0</v>
      </c>
      <c r="AX100" s="38">
        <f>F100*AP100</f>
        <v>0</v>
      </c>
      <c r="AY100" s="39" t="s">
        <v>547</v>
      </c>
      <c r="AZ100" s="39" t="s">
        <v>572</v>
      </c>
      <c r="BA100" s="30" t="s">
        <v>588</v>
      </c>
      <c r="BC100" s="38">
        <f>AW100+AX100</f>
        <v>0</v>
      </c>
      <c r="BD100" s="38">
        <f>G100/(100-BE100)*100</f>
        <v>0</v>
      </c>
      <c r="BE100" s="38">
        <v>0</v>
      </c>
      <c r="BF100" s="38">
        <f>L100</f>
        <v>0.008</v>
      </c>
      <c r="BH100" s="23">
        <f>F100*AO100</f>
        <v>0</v>
      </c>
      <c r="BI100" s="23">
        <f>F100*AP100</f>
        <v>0</v>
      </c>
      <c r="BJ100" s="23">
        <f>F100*G100</f>
        <v>0</v>
      </c>
    </row>
    <row r="101" spans="3:13" ht="12.75">
      <c r="C101" s="17" t="s">
        <v>175</v>
      </c>
      <c r="D101" s="87" t="s">
        <v>350</v>
      </c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1:62" ht="12.75">
      <c r="A102" s="7" t="s">
        <v>44</v>
      </c>
      <c r="B102" s="7" t="s">
        <v>135</v>
      </c>
      <c r="C102" s="7" t="s">
        <v>177</v>
      </c>
      <c r="D102" s="125" t="s">
        <v>351</v>
      </c>
      <c r="E102" s="7" t="s">
        <v>511</v>
      </c>
      <c r="F102" s="23">
        <v>3</v>
      </c>
      <c r="G102" s="23">
        <v>0</v>
      </c>
      <c r="H102" s="23">
        <f>F102*AO102</f>
        <v>0</v>
      </c>
      <c r="I102" s="23">
        <f>F102*AP102</f>
        <v>0</v>
      </c>
      <c r="J102" s="23">
        <f>F102*G102</f>
        <v>0</v>
      </c>
      <c r="K102" s="23">
        <v>0.002</v>
      </c>
      <c r="L102" s="23">
        <f>F102*K102</f>
        <v>0.006</v>
      </c>
      <c r="M102" s="35" t="s">
        <v>532</v>
      </c>
      <c r="Z102" s="38">
        <f>IF(AQ102="5",BJ102,0)</f>
        <v>0</v>
      </c>
      <c r="AB102" s="38">
        <f>IF(AQ102="1",BH102,0)</f>
        <v>0</v>
      </c>
      <c r="AC102" s="38">
        <f>IF(AQ102="1",BI102,0)</f>
        <v>0</v>
      </c>
      <c r="AD102" s="38">
        <f>IF(AQ102="7",BH102,0)</f>
        <v>0</v>
      </c>
      <c r="AE102" s="38">
        <f>IF(AQ102="7",BI102,0)</f>
        <v>0</v>
      </c>
      <c r="AF102" s="38">
        <f>IF(AQ102="2",BH102,0)</f>
        <v>0</v>
      </c>
      <c r="AG102" s="38">
        <f>IF(AQ102="2",BI102,0)</f>
        <v>0</v>
      </c>
      <c r="AH102" s="38">
        <f>IF(AQ102="0",BJ102,0)</f>
        <v>0</v>
      </c>
      <c r="AI102" s="30" t="s">
        <v>135</v>
      </c>
      <c r="AJ102" s="23">
        <f>IF(AN102=0,J102,0)</f>
        <v>0</v>
      </c>
      <c r="AK102" s="23">
        <f>IF(AN102=15,J102,0)</f>
        <v>0</v>
      </c>
      <c r="AL102" s="23">
        <f>IF(AN102=21,J102,0)</f>
        <v>0</v>
      </c>
      <c r="AN102" s="38">
        <v>15</v>
      </c>
      <c r="AO102" s="38">
        <f>G102*1</f>
        <v>0</v>
      </c>
      <c r="AP102" s="38">
        <f>G102*(1-1)</f>
        <v>0</v>
      </c>
      <c r="AQ102" s="35" t="s">
        <v>7</v>
      </c>
      <c r="AV102" s="38">
        <f>AW102+AX102</f>
        <v>0</v>
      </c>
      <c r="AW102" s="38">
        <f>F102*AO102</f>
        <v>0</v>
      </c>
      <c r="AX102" s="38">
        <f>F102*AP102</f>
        <v>0</v>
      </c>
      <c r="AY102" s="39" t="s">
        <v>547</v>
      </c>
      <c r="AZ102" s="39" t="s">
        <v>572</v>
      </c>
      <c r="BA102" s="30" t="s">
        <v>588</v>
      </c>
      <c r="BC102" s="38">
        <f>AW102+AX102</f>
        <v>0</v>
      </c>
      <c r="BD102" s="38">
        <f>G102/(100-BE102)*100</f>
        <v>0</v>
      </c>
      <c r="BE102" s="38">
        <v>0</v>
      </c>
      <c r="BF102" s="38">
        <f>L102</f>
        <v>0.006</v>
      </c>
      <c r="BH102" s="23">
        <f>F102*AO102</f>
        <v>0</v>
      </c>
      <c r="BI102" s="23">
        <f>F102*AP102</f>
        <v>0</v>
      </c>
      <c r="BJ102" s="23">
        <f>F102*G102</f>
        <v>0</v>
      </c>
    </row>
    <row r="103" spans="1:62" ht="25.5">
      <c r="A103" s="7" t="s">
        <v>45</v>
      </c>
      <c r="B103" s="7" t="s">
        <v>135</v>
      </c>
      <c r="C103" s="7" t="s">
        <v>178</v>
      </c>
      <c r="D103" s="125" t="s">
        <v>352</v>
      </c>
      <c r="E103" s="7" t="s">
        <v>506</v>
      </c>
      <c r="F103" s="23">
        <v>5</v>
      </c>
      <c r="G103" s="23">
        <v>0</v>
      </c>
      <c r="H103" s="23">
        <f>F103*AO103</f>
        <v>0</v>
      </c>
      <c r="I103" s="23">
        <f>F103*AP103</f>
        <v>0</v>
      </c>
      <c r="J103" s="23">
        <f>F103*G103</f>
        <v>0</v>
      </c>
      <c r="K103" s="23">
        <v>0.002</v>
      </c>
      <c r="L103" s="23">
        <f>F103*K103</f>
        <v>0.01</v>
      </c>
      <c r="M103" s="35" t="s">
        <v>531</v>
      </c>
      <c r="Z103" s="38">
        <f>IF(AQ103="5",BJ103,0)</f>
        <v>0</v>
      </c>
      <c r="AB103" s="38">
        <f>IF(AQ103="1",BH103,0)</f>
        <v>0</v>
      </c>
      <c r="AC103" s="38">
        <f>IF(AQ103="1",BI103,0)</f>
        <v>0</v>
      </c>
      <c r="AD103" s="38">
        <f>IF(AQ103="7",BH103,0)</f>
        <v>0</v>
      </c>
      <c r="AE103" s="38">
        <f>IF(AQ103="7",BI103,0)</f>
        <v>0</v>
      </c>
      <c r="AF103" s="38">
        <f>IF(AQ103="2",BH103,0)</f>
        <v>0</v>
      </c>
      <c r="AG103" s="38">
        <f>IF(AQ103="2",BI103,0)</f>
        <v>0</v>
      </c>
      <c r="AH103" s="38">
        <f>IF(AQ103="0",BJ103,0)</f>
        <v>0</v>
      </c>
      <c r="AI103" s="30" t="s">
        <v>135</v>
      </c>
      <c r="AJ103" s="23">
        <f>IF(AN103=0,J103,0)</f>
        <v>0</v>
      </c>
      <c r="AK103" s="23">
        <f>IF(AN103=15,J103,0)</f>
        <v>0</v>
      </c>
      <c r="AL103" s="23">
        <f>IF(AN103=21,J103,0)</f>
        <v>0</v>
      </c>
      <c r="AN103" s="38">
        <v>15</v>
      </c>
      <c r="AO103" s="38">
        <f>G103*1</f>
        <v>0</v>
      </c>
      <c r="AP103" s="38">
        <f>G103*(1-1)</f>
        <v>0</v>
      </c>
      <c r="AQ103" s="35" t="s">
        <v>7</v>
      </c>
      <c r="AV103" s="38">
        <f>AW103+AX103</f>
        <v>0</v>
      </c>
      <c r="AW103" s="38">
        <f>F103*AO103</f>
        <v>0</v>
      </c>
      <c r="AX103" s="38">
        <f>F103*AP103</f>
        <v>0</v>
      </c>
      <c r="AY103" s="39" t="s">
        <v>547</v>
      </c>
      <c r="AZ103" s="39" t="s">
        <v>572</v>
      </c>
      <c r="BA103" s="30" t="s">
        <v>588</v>
      </c>
      <c r="BC103" s="38">
        <f>AW103+AX103</f>
        <v>0</v>
      </c>
      <c r="BD103" s="38">
        <f>G103/(100-BE103)*100</f>
        <v>0</v>
      </c>
      <c r="BE103" s="38">
        <v>0</v>
      </c>
      <c r="BF103" s="38">
        <f>L103</f>
        <v>0.01</v>
      </c>
      <c r="BH103" s="23">
        <f>F103*AO103</f>
        <v>0</v>
      </c>
      <c r="BI103" s="23">
        <f>F103*AP103</f>
        <v>0</v>
      </c>
      <c r="BJ103" s="23">
        <f>F103*G103</f>
        <v>0</v>
      </c>
    </row>
    <row r="104" spans="3:13" ht="12.75">
      <c r="C104" s="17" t="s">
        <v>175</v>
      </c>
      <c r="D104" s="87" t="s">
        <v>353</v>
      </c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1:62" ht="25.5">
      <c r="A105" s="7" t="s">
        <v>46</v>
      </c>
      <c r="B105" s="7" t="s">
        <v>135</v>
      </c>
      <c r="C105" s="7" t="s">
        <v>179</v>
      </c>
      <c r="D105" s="125" t="s">
        <v>354</v>
      </c>
      <c r="E105" s="7" t="s">
        <v>511</v>
      </c>
      <c r="F105" s="23">
        <v>6</v>
      </c>
      <c r="G105" s="23">
        <v>0</v>
      </c>
      <c r="H105" s="23">
        <f aca="true" t="shared" si="24" ref="H105:H112">F105*AO105</f>
        <v>0</v>
      </c>
      <c r="I105" s="23">
        <f aca="true" t="shared" si="25" ref="I105:I112">F105*AP105</f>
        <v>0</v>
      </c>
      <c r="J105" s="23">
        <f aca="true" t="shared" si="26" ref="J105:J112">F105*G105</f>
        <v>0</v>
      </c>
      <c r="K105" s="23">
        <v>0.002</v>
      </c>
      <c r="L105" s="23">
        <f aca="true" t="shared" si="27" ref="L105:L112">F105*K105</f>
        <v>0.012</v>
      </c>
      <c r="M105" s="35" t="s">
        <v>532</v>
      </c>
      <c r="Z105" s="38">
        <f aca="true" t="shared" si="28" ref="Z105:Z112">IF(AQ105="5",BJ105,0)</f>
        <v>0</v>
      </c>
      <c r="AB105" s="38">
        <f aca="true" t="shared" si="29" ref="AB105:AB112">IF(AQ105="1",BH105,0)</f>
        <v>0</v>
      </c>
      <c r="AC105" s="38">
        <f aca="true" t="shared" si="30" ref="AC105:AC112">IF(AQ105="1",BI105,0)</f>
        <v>0</v>
      </c>
      <c r="AD105" s="38">
        <f aca="true" t="shared" si="31" ref="AD105:AD112">IF(AQ105="7",BH105,0)</f>
        <v>0</v>
      </c>
      <c r="AE105" s="38">
        <f aca="true" t="shared" si="32" ref="AE105:AE112">IF(AQ105="7",BI105,0)</f>
        <v>0</v>
      </c>
      <c r="AF105" s="38">
        <f aca="true" t="shared" si="33" ref="AF105:AF112">IF(AQ105="2",BH105,0)</f>
        <v>0</v>
      </c>
      <c r="AG105" s="38">
        <f aca="true" t="shared" si="34" ref="AG105:AG112">IF(AQ105="2",BI105,0)</f>
        <v>0</v>
      </c>
      <c r="AH105" s="38">
        <f aca="true" t="shared" si="35" ref="AH105:AH112">IF(AQ105="0",BJ105,0)</f>
        <v>0</v>
      </c>
      <c r="AI105" s="30" t="s">
        <v>135</v>
      </c>
      <c r="AJ105" s="23">
        <f aca="true" t="shared" si="36" ref="AJ105:AJ112">IF(AN105=0,J105,0)</f>
        <v>0</v>
      </c>
      <c r="AK105" s="23">
        <f aca="true" t="shared" si="37" ref="AK105:AK112">IF(AN105=15,J105,0)</f>
        <v>0</v>
      </c>
      <c r="AL105" s="23">
        <f aca="true" t="shared" si="38" ref="AL105:AL112">IF(AN105=21,J105,0)</f>
        <v>0</v>
      </c>
      <c r="AN105" s="38">
        <v>15</v>
      </c>
      <c r="AO105" s="38">
        <f aca="true" t="shared" si="39" ref="AO105:AO110">G105*1</f>
        <v>0</v>
      </c>
      <c r="AP105" s="38">
        <f aca="true" t="shared" si="40" ref="AP105:AP110">G105*(1-1)</f>
        <v>0</v>
      </c>
      <c r="AQ105" s="35" t="s">
        <v>7</v>
      </c>
      <c r="AV105" s="38">
        <f aca="true" t="shared" si="41" ref="AV105:AV112">AW105+AX105</f>
        <v>0</v>
      </c>
      <c r="AW105" s="38">
        <f aca="true" t="shared" si="42" ref="AW105:AW112">F105*AO105</f>
        <v>0</v>
      </c>
      <c r="AX105" s="38">
        <f aca="true" t="shared" si="43" ref="AX105:AX112">F105*AP105</f>
        <v>0</v>
      </c>
      <c r="AY105" s="39" t="s">
        <v>547</v>
      </c>
      <c r="AZ105" s="39" t="s">
        <v>572</v>
      </c>
      <c r="BA105" s="30" t="s">
        <v>588</v>
      </c>
      <c r="BC105" s="38">
        <f aca="true" t="shared" si="44" ref="BC105:BC112">AW105+AX105</f>
        <v>0</v>
      </c>
      <c r="BD105" s="38">
        <f aca="true" t="shared" si="45" ref="BD105:BD112">G105/(100-BE105)*100</f>
        <v>0</v>
      </c>
      <c r="BE105" s="38">
        <v>0</v>
      </c>
      <c r="BF105" s="38">
        <f aca="true" t="shared" si="46" ref="BF105:BF112">L105</f>
        <v>0.012</v>
      </c>
      <c r="BH105" s="23">
        <f aca="true" t="shared" si="47" ref="BH105:BH112">F105*AO105</f>
        <v>0</v>
      </c>
      <c r="BI105" s="23">
        <f aca="true" t="shared" si="48" ref="BI105:BI112">F105*AP105</f>
        <v>0</v>
      </c>
      <c r="BJ105" s="23">
        <f aca="true" t="shared" si="49" ref="BJ105:BJ112">F105*G105</f>
        <v>0</v>
      </c>
    </row>
    <row r="106" spans="1:62" ht="12.75">
      <c r="A106" s="7" t="s">
        <v>47</v>
      </c>
      <c r="B106" s="7" t="s">
        <v>135</v>
      </c>
      <c r="C106" s="7" t="s">
        <v>180</v>
      </c>
      <c r="D106" s="125" t="s">
        <v>355</v>
      </c>
      <c r="E106" s="7" t="s">
        <v>511</v>
      </c>
      <c r="F106" s="23">
        <v>3</v>
      </c>
      <c r="G106" s="23">
        <v>0</v>
      </c>
      <c r="H106" s="23">
        <f t="shared" si="24"/>
        <v>0</v>
      </c>
      <c r="I106" s="23">
        <f t="shared" si="25"/>
        <v>0</v>
      </c>
      <c r="J106" s="23">
        <f t="shared" si="26"/>
        <v>0</v>
      </c>
      <c r="K106" s="23">
        <v>0</v>
      </c>
      <c r="L106" s="23">
        <f t="shared" si="27"/>
        <v>0</v>
      </c>
      <c r="M106" s="35" t="s">
        <v>531</v>
      </c>
      <c r="Z106" s="38">
        <f t="shared" si="28"/>
        <v>0</v>
      </c>
      <c r="AB106" s="38">
        <f t="shared" si="29"/>
        <v>0</v>
      </c>
      <c r="AC106" s="38">
        <f t="shared" si="30"/>
        <v>0</v>
      </c>
      <c r="AD106" s="38">
        <f t="shared" si="31"/>
        <v>0</v>
      </c>
      <c r="AE106" s="38">
        <f t="shared" si="32"/>
        <v>0</v>
      </c>
      <c r="AF106" s="38">
        <f t="shared" si="33"/>
        <v>0</v>
      </c>
      <c r="AG106" s="38">
        <f t="shared" si="34"/>
        <v>0</v>
      </c>
      <c r="AH106" s="38">
        <f t="shared" si="35"/>
        <v>0</v>
      </c>
      <c r="AI106" s="30" t="s">
        <v>135</v>
      </c>
      <c r="AJ106" s="23">
        <f t="shared" si="36"/>
        <v>0</v>
      </c>
      <c r="AK106" s="23">
        <f t="shared" si="37"/>
        <v>0</v>
      </c>
      <c r="AL106" s="23">
        <f t="shared" si="38"/>
        <v>0</v>
      </c>
      <c r="AN106" s="38">
        <v>15</v>
      </c>
      <c r="AO106" s="38">
        <f t="shared" si="39"/>
        <v>0</v>
      </c>
      <c r="AP106" s="38">
        <f t="shared" si="40"/>
        <v>0</v>
      </c>
      <c r="AQ106" s="35" t="s">
        <v>7</v>
      </c>
      <c r="AV106" s="38">
        <f t="shared" si="41"/>
        <v>0</v>
      </c>
      <c r="AW106" s="38">
        <f t="shared" si="42"/>
        <v>0</v>
      </c>
      <c r="AX106" s="38">
        <f t="shared" si="43"/>
        <v>0</v>
      </c>
      <c r="AY106" s="39" t="s">
        <v>547</v>
      </c>
      <c r="AZ106" s="39" t="s">
        <v>572</v>
      </c>
      <c r="BA106" s="30" t="s">
        <v>588</v>
      </c>
      <c r="BC106" s="38">
        <f t="shared" si="44"/>
        <v>0</v>
      </c>
      <c r="BD106" s="38">
        <f t="shared" si="45"/>
        <v>0</v>
      </c>
      <c r="BE106" s="38">
        <v>0</v>
      </c>
      <c r="BF106" s="38">
        <f t="shared" si="46"/>
        <v>0</v>
      </c>
      <c r="BH106" s="23">
        <f t="shared" si="47"/>
        <v>0</v>
      </c>
      <c r="BI106" s="23">
        <f t="shared" si="48"/>
        <v>0</v>
      </c>
      <c r="BJ106" s="23">
        <f t="shared" si="49"/>
        <v>0</v>
      </c>
    </row>
    <row r="107" spans="1:62" ht="12.75">
      <c r="A107" s="7" t="s">
        <v>48</v>
      </c>
      <c r="B107" s="7" t="s">
        <v>135</v>
      </c>
      <c r="C107" s="7" t="s">
        <v>181</v>
      </c>
      <c r="D107" s="125" t="s">
        <v>356</v>
      </c>
      <c r="E107" s="7" t="s">
        <v>511</v>
      </c>
      <c r="F107" s="23">
        <v>9</v>
      </c>
      <c r="G107" s="23">
        <v>0</v>
      </c>
      <c r="H107" s="23">
        <f t="shared" si="24"/>
        <v>0</v>
      </c>
      <c r="I107" s="23">
        <f t="shared" si="25"/>
        <v>0</v>
      </c>
      <c r="J107" s="23">
        <f t="shared" si="26"/>
        <v>0</v>
      </c>
      <c r="K107" s="23">
        <v>0.001</v>
      </c>
      <c r="L107" s="23">
        <f t="shared" si="27"/>
        <v>0.009000000000000001</v>
      </c>
      <c r="M107" s="35" t="s">
        <v>532</v>
      </c>
      <c r="Z107" s="38">
        <f t="shared" si="28"/>
        <v>0</v>
      </c>
      <c r="AB107" s="38">
        <f t="shared" si="29"/>
        <v>0</v>
      </c>
      <c r="AC107" s="38">
        <f t="shared" si="30"/>
        <v>0</v>
      </c>
      <c r="AD107" s="38">
        <f t="shared" si="31"/>
        <v>0</v>
      </c>
      <c r="AE107" s="38">
        <f t="shared" si="32"/>
        <v>0</v>
      </c>
      <c r="AF107" s="38">
        <f t="shared" si="33"/>
        <v>0</v>
      </c>
      <c r="AG107" s="38">
        <f t="shared" si="34"/>
        <v>0</v>
      </c>
      <c r="AH107" s="38">
        <f t="shared" si="35"/>
        <v>0</v>
      </c>
      <c r="AI107" s="30" t="s">
        <v>135</v>
      </c>
      <c r="AJ107" s="23">
        <f t="shared" si="36"/>
        <v>0</v>
      </c>
      <c r="AK107" s="23">
        <f t="shared" si="37"/>
        <v>0</v>
      </c>
      <c r="AL107" s="23">
        <f t="shared" si="38"/>
        <v>0</v>
      </c>
      <c r="AN107" s="38">
        <v>15</v>
      </c>
      <c r="AO107" s="38">
        <f t="shared" si="39"/>
        <v>0</v>
      </c>
      <c r="AP107" s="38">
        <f t="shared" si="40"/>
        <v>0</v>
      </c>
      <c r="AQ107" s="35" t="s">
        <v>7</v>
      </c>
      <c r="AV107" s="38">
        <f t="shared" si="41"/>
        <v>0</v>
      </c>
      <c r="AW107" s="38">
        <f t="shared" si="42"/>
        <v>0</v>
      </c>
      <c r="AX107" s="38">
        <f t="shared" si="43"/>
        <v>0</v>
      </c>
      <c r="AY107" s="39" t="s">
        <v>547</v>
      </c>
      <c r="AZ107" s="39" t="s">
        <v>572</v>
      </c>
      <c r="BA107" s="30" t="s">
        <v>588</v>
      </c>
      <c r="BC107" s="38">
        <f t="shared" si="44"/>
        <v>0</v>
      </c>
      <c r="BD107" s="38">
        <f t="shared" si="45"/>
        <v>0</v>
      </c>
      <c r="BE107" s="38">
        <v>0</v>
      </c>
      <c r="BF107" s="38">
        <f t="shared" si="46"/>
        <v>0.009000000000000001</v>
      </c>
      <c r="BH107" s="23">
        <f t="shared" si="47"/>
        <v>0</v>
      </c>
      <c r="BI107" s="23">
        <f t="shared" si="48"/>
        <v>0</v>
      </c>
      <c r="BJ107" s="23">
        <f t="shared" si="49"/>
        <v>0</v>
      </c>
    </row>
    <row r="108" spans="1:62" ht="12.75">
      <c r="A108" s="7" t="s">
        <v>49</v>
      </c>
      <c r="B108" s="7" t="s">
        <v>135</v>
      </c>
      <c r="C108" s="7" t="s">
        <v>182</v>
      </c>
      <c r="D108" s="125" t="s">
        <v>357</v>
      </c>
      <c r="E108" s="7" t="s">
        <v>511</v>
      </c>
      <c r="F108" s="23">
        <v>5</v>
      </c>
      <c r="G108" s="23">
        <v>0</v>
      </c>
      <c r="H108" s="23">
        <f t="shared" si="24"/>
        <v>0</v>
      </c>
      <c r="I108" s="23">
        <f t="shared" si="25"/>
        <v>0</v>
      </c>
      <c r="J108" s="23">
        <f t="shared" si="26"/>
        <v>0</v>
      </c>
      <c r="K108" s="23">
        <v>0</v>
      </c>
      <c r="L108" s="23">
        <f t="shared" si="27"/>
        <v>0</v>
      </c>
      <c r="M108" s="35" t="s">
        <v>532</v>
      </c>
      <c r="Z108" s="38">
        <f t="shared" si="28"/>
        <v>0</v>
      </c>
      <c r="AB108" s="38">
        <f t="shared" si="29"/>
        <v>0</v>
      </c>
      <c r="AC108" s="38">
        <f t="shared" si="30"/>
        <v>0</v>
      </c>
      <c r="AD108" s="38">
        <f t="shared" si="31"/>
        <v>0</v>
      </c>
      <c r="AE108" s="38">
        <f t="shared" si="32"/>
        <v>0</v>
      </c>
      <c r="AF108" s="38">
        <f t="shared" si="33"/>
        <v>0</v>
      </c>
      <c r="AG108" s="38">
        <f t="shared" si="34"/>
        <v>0</v>
      </c>
      <c r="AH108" s="38">
        <f t="shared" si="35"/>
        <v>0</v>
      </c>
      <c r="AI108" s="30" t="s">
        <v>135</v>
      </c>
      <c r="AJ108" s="23">
        <f t="shared" si="36"/>
        <v>0</v>
      </c>
      <c r="AK108" s="23">
        <f t="shared" si="37"/>
        <v>0</v>
      </c>
      <c r="AL108" s="23">
        <f t="shared" si="38"/>
        <v>0</v>
      </c>
      <c r="AN108" s="38">
        <v>15</v>
      </c>
      <c r="AO108" s="38">
        <f t="shared" si="39"/>
        <v>0</v>
      </c>
      <c r="AP108" s="38">
        <f t="shared" si="40"/>
        <v>0</v>
      </c>
      <c r="AQ108" s="35" t="s">
        <v>7</v>
      </c>
      <c r="AV108" s="38">
        <f t="shared" si="41"/>
        <v>0</v>
      </c>
      <c r="AW108" s="38">
        <f t="shared" si="42"/>
        <v>0</v>
      </c>
      <c r="AX108" s="38">
        <f t="shared" si="43"/>
        <v>0</v>
      </c>
      <c r="AY108" s="39" t="s">
        <v>547</v>
      </c>
      <c r="AZ108" s="39" t="s">
        <v>572</v>
      </c>
      <c r="BA108" s="30" t="s">
        <v>588</v>
      </c>
      <c r="BC108" s="38">
        <f t="shared" si="44"/>
        <v>0</v>
      </c>
      <c r="BD108" s="38">
        <f t="shared" si="45"/>
        <v>0</v>
      </c>
      <c r="BE108" s="38">
        <v>0</v>
      </c>
      <c r="BF108" s="38">
        <f t="shared" si="46"/>
        <v>0</v>
      </c>
      <c r="BH108" s="23">
        <f t="shared" si="47"/>
        <v>0</v>
      </c>
      <c r="BI108" s="23">
        <f t="shared" si="48"/>
        <v>0</v>
      </c>
      <c r="BJ108" s="23">
        <f t="shared" si="49"/>
        <v>0</v>
      </c>
    </row>
    <row r="109" spans="1:62" ht="12.75">
      <c r="A109" s="7" t="s">
        <v>50</v>
      </c>
      <c r="B109" s="7" t="s">
        <v>135</v>
      </c>
      <c r="C109" s="7" t="s">
        <v>183</v>
      </c>
      <c r="D109" s="125" t="s">
        <v>358</v>
      </c>
      <c r="E109" s="7" t="s">
        <v>511</v>
      </c>
      <c r="F109" s="23">
        <v>0</v>
      </c>
      <c r="G109" s="23">
        <v>0</v>
      </c>
      <c r="H109" s="23">
        <f t="shared" si="24"/>
        <v>0</v>
      </c>
      <c r="I109" s="23">
        <f t="shared" si="25"/>
        <v>0</v>
      </c>
      <c r="J109" s="23">
        <f t="shared" si="26"/>
        <v>0</v>
      </c>
      <c r="K109" s="23">
        <v>0.005</v>
      </c>
      <c r="L109" s="23">
        <f t="shared" si="27"/>
        <v>0</v>
      </c>
      <c r="M109" s="35" t="s">
        <v>532</v>
      </c>
      <c r="Z109" s="38">
        <f t="shared" si="28"/>
        <v>0</v>
      </c>
      <c r="AB109" s="38">
        <f t="shared" si="29"/>
        <v>0</v>
      </c>
      <c r="AC109" s="38">
        <f t="shared" si="30"/>
        <v>0</v>
      </c>
      <c r="AD109" s="38">
        <f t="shared" si="31"/>
        <v>0</v>
      </c>
      <c r="AE109" s="38">
        <f t="shared" si="32"/>
        <v>0</v>
      </c>
      <c r="AF109" s="38">
        <f t="shared" si="33"/>
        <v>0</v>
      </c>
      <c r="AG109" s="38">
        <f t="shared" si="34"/>
        <v>0</v>
      </c>
      <c r="AH109" s="38">
        <f t="shared" si="35"/>
        <v>0</v>
      </c>
      <c r="AI109" s="30" t="s">
        <v>135</v>
      </c>
      <c r="AJ109" s="23">
        <f t="shared" si="36"/>
        <v>0</v>
      </c>
      <c r="AK109" s="23">
        <f t="shared" si="37"/>
        <v>0</v>
      </c>
      <c r="AL109" s="23">
        <f t="shared" si="38"/>
        <v>0</v>
      </c>
      <c r="AN109" s="38">
        <v>15</v>
      </c>
      <c r="AO109" s="38">
        <f t="shared" si="39"/>
        <v>0</v>
      </c>
      <c r="AP109" s="38">
        <f t="shared" si="40"/>
        <v>0</v>
      </c>
      <c r="AQ109" s="35" t="s">
        <v>7</v>
      </c>
      <c r="AV109" s="38">
        <f t="shared" si="41"/>
        <v>0</v>
      </c>
      <c r="AW109" s="38">
        <f t="shared" si="42"/>
        <v>0</v>
      </c>
      <c r="AX109" s="38">
        <f t="shared" si="43"/>
        <v>0</v>
      </c>
      <c r="AY109" s="39" t="s">
        <v>547</v>
      </c>
      <c r="AZ109" s="39" t="s">
        <v>572</v>
      </c>
      <c r="BA109" s="30" t="s">
        <v>588</v>
      </c>
      <c r="BC109" s="38">
        <f t="shared" si="44"/>
        <v>0</v>
      </c>
      <c r="BD109" s="38">
        <f t="shared" si="45"/>
        <v>0</v>
      </c>
      <c r="BE109" s="38">
        <v>0</v>
      </c>
      <c r="BF109" s="38">
        <f t="shared" si="46"/>
        <v>0</v>
      </c>
      <c r="BH109" s="23">
        <f t="shared" si="47"/>
        <v>0</v>
      </c>
      <c r="BI109" s="23">
        <f t="shared" si="48"/>
        <v>0</v>
      </c>
      <c r="BJ109" s="23">
        <f t="shared" si="49"/>
        <v>0</v>
      </c>
    </row>
    <row r="110" spans="1:62" ht="12.75">
      <c r="A110" s="7" t="s">
        <v>51</v>
      </c>
      <c r="B110" s="7" t="s">
        <v>135</v>
      </c>
      <c r="C110" s="7" t="s">
        <v>184</v>
      </c>
      <c r="D110" s="125" t="s">
        <v>359</v>
      </c>
      <c r="E110" s="7" t="s">
        <v>511</v>
      </c>
      <c r="F110" s="23">
        <v>14</v>
      </c>
      <c r="G110" s="23">
        <v>0</v>
      </c>
      <c r="H110" s="23">
        <f t="shared" si="24"/>
        <v>0</v>
      </c>
      <c r="I110" s="23">
        <f t="shared" si="25"/>
        <v>0</v>
      </c>
      <c r="J110" s="23">
        <f t="shared" si="26"/>
        <v>0</v>
      </c>
      <c r="K110" s="23">
        <v>0.001</v>
      </c>
      <c r="L110" s="23">
        <f t="shared" si="27"/>
        <v>0.014</v>
      </c>
      <c r="M110" s="35" t="s">
        <v>532</v>
      </c>
      <c r="Z110" s="38">
        <f t="shared" si="28"/>
        <v>0</v>
      </c>
      <c r="AB110" s="38">
        <f t="shared" si="29"/>
        <v>0</v>
      </c>
      <c r="AC110" s="38">
        <f t="shared" si="30"/>
        <v>0</v>
      </c>
      <c r="AD110" s="38">
        <f t="shared" si="31"/>
        <v>0</v>
      </c>
      <c r="AE110" s="38">
        <f t="shared" si="32"/>
        <v>0</v>
      </c>
      <c r="AF110" s="38">
        <f t="shared" si="33"/>
        <v>0</v>
      </c>
      <c r="AG110" s="38">
        <f t="shared" si="34"/>
        <v>0</v>
      </c>
      <c r="AH110" s="38">
        <f t="shared" si="35"/>
        <v>0</v>
      </c>
      <c r="AI110" s="30" t="s">
        <v>135</v>
      </c>
      <c r="AJ110" s="23">
        <f t="shared" si="36"/>
        <v>0</v>
      </c>
      <c r="AK110" s="23">
        <f t="shared" si="37"/>
        <v>0</v>
      </c>
      <c r="AL110" s="23">
        <f t="shared" si="38"/>
        <v>0</v>
      </c>
      <c r="AN110" s="38">
        <v>15</v>
      </c>
      <c r="AO110" s="38">
        <f t="shared" si="39"/>
        <v>0</v>
      </c>
      <c r="AP110" s="38">
        <f t="shared" si="40"/>
        <v>0</v>
      </c>
      <c r="AQ110" s="35" t="s">
        <v>7</v>
      </c>
      <c r="AV110" s="38">
        <f t="shared" si="41"/>
        <v>0</v>
      </c>
      <c r="AW110" s="38">
        <f t="shared" si="42"/>
        <v>0</v>
      </c>
      <c r="AX110" s="38">
        <f t="shared" si="43"/>
        <v>0</v>
      </c>
      <c r="AY110" s="39" t="s">
        <v>547</v>
      </c>
      <c r="AZ110" s="39" t="s">
        <v>572</v>
      </c>
      <c r="BA110" s="30" t="s">
        <v>588</v>
      </c>
      <c r="BC110" s="38">
        <f t="shared" si="44"/>
        <v>0</v>
      </c>
      <c r="BD110" s="38">
        <f t="shared" si="45"/>
        <v>0</v>
      </c>
      <c r="BE110" s="38">
        <v>0</v>
      </c>
      <c r="BF110" s="38">
        <f t="shared" si="46"/>
        <v>0.014</v>
      </c>
      <c r="BH110" s="23">
        <f t="shared" si="47"/>
        <v>0</v>
      </c>
      <c r="BI110" s="23">
        <f t="shared" si="48"/>
        <v>0</v>
      </c>
      <c r="BJ110" s="23">
        <f t="shared" si="49"/>
        <v>0</v>
      </c>
    </row>
    <row r="111" spans="1:62" ht="12.75">
      <c r="A111" s="5" t="s">
        <v>52</v>
      </c>
      <c r="B111" s="5" t="s">
        <v>135</v>
      </c>
      <c r="C111" s="5" t="s">
        <v>185</v>
      </c>
      <c r="D111" s="122" t="s">
        <v>360</v>
      </c>
      <c r="E111" s="5" t="s">
        <v>505</v>
      </c>
      <c r="F111" s="21">
        <v>212</v>
      </c>
      <c r="G111" s="21">
        <v>0</v>
      </c>
      <c r="H111" s="21">
        <f t="shared" si="24"/>
        <v>0</v>
      </c>
      <c r="I111" s="21">
        <f t="shared" si="25"/>
        <v>0</v>
      </c>
      <c r="J111" s="21">
        <f t="shared" si="26"/>
        <v>0</v>
      </c>
      <c r="K111" s="21">
        <v>0</v>
      </c>
      <c r="L111" s="21">
        <f t="shared" si="27"/>
        <v>0</v>
      </c>
      <c r="M111" s="34" t="s">
        <v>531</v>
      </c>
      <c r="Z111" s="38">
        <f t="shared" si="28"/>
        <v>0</v>
      </c>
      <c r="AB111" s="38">
        <f t="shared" si="29"/>
        <v>0</v>
      </c>
      <c r="AC111" s="38">
        <f t="shared" si="30"/>
        <v>0</v>
      </c>
      <c r="AD111" s="38">
        <f t="shared" si="31"/>
        <v>0</v>
      </c>
      <c r="AE111" s="38">
        <f t="shared" si="32"/>
        <v>0</v>
      </c>
      <c r="AF111" s="38">
        <f t="shared" si="33"/>
        <v>0</v>
      </c>
      <c r="AG111" s="38">
        <f t="shared" si="34"/>
        <v>0</v>
      </c>
      <c r="AH111" s="38">
        <f t="shared" si="35"/>
        <v>0</v>
      </c>
      <c r="AI111" s="30" t="s">
        <v>135</v>
      </c>
      <c r="AJ111" s="21">
        <f t="shared" si="36"/>
        <v>0</v>
      </c>
      <c r="AK111" s="21">
        <f t="shared" si="37"/>
        <v>0</v>
      </c>
      <c r="AL111" s="21">
        <f t="shared" si="38"/>
        <v>0</v>
      </c>
      <c r="AN111" s="38">
        <v>15</v>
      </c>
      <c r="AO111" s="38">
        <f>G111*0.0190908221097835</f>
        <v>0</v>
      </c>
      <c r="AP111" s="38">
        <f>G111*(1-0.0190908221097835)</f>
        <v>0</v>
      </c>
      <c r="AQ111" s="34" t="s">
        <v>7</v>
      </c>
      <c r="AV111" s="38">
        <f t="shared" si="41"/>
        <v>0</v>
      </c>
      <c r="AW111" s="38">
        <f t="shared" si="42"/>
        <v>0</v>
      </c>
      <c r="AX111" s="38">
        <f t="shared" si="43"/>
        <v>0</v>
      </c>
      <c r="AY111" s="39" t="s">
        <v>547</v>
      </c>
      <c r="AZ111" s="39" t="s">
        <v>572</v>
      </c>
      <c r="BA111" s="30" t="s">
        <v>588</v>
      </c>
      <c r="BC111" s="38">
        <f t="shared" si="44"/>
        <v>0</v>
      </c>
      <c r="BD111" s="38">
        <f t="shared" si="45"/>
        <v>0</v>
      </c>
      <c r="BE111" s="38">
        <v>0</v>
      </c>
      <c r="BF111" s="38">
        <f t="shared" si="46"/>
        <v>0</v>
      </c>
      <c r="BH111" s="21">
        <f t="shared" si="47"/>
        <v>0</v>
      </c>
      <c r="BI111" s="21">
        <f t="shared" si="48"/>
        <v>0</v>
      </c>
      <c r="BJ111" s="21">
        <f t="shared" si="49"/>
        <v>0</v>
      </c>
    </row>
    <row r="112" spans="1:62" ht="12.75">
      <c r="A112" s="7" t="s">
        <v>53</v>
      </c>
      <c r="B112" s="7" t="s">
        <v>135</v>
      </c>
      <c r="C112" s="7" t="s">
        <v>186</v>
      </c>
      <c r="D112" s="125" t="s">
        <v>361</v>
      </c>
      <c r="E112" s="7" t="s">
        <v>505</v>
      </c>
      <c r="F112" s="23">
        <v>214.12</v>
      </c>
      <c r="G112" s="23">
        <v>0</v>
      </c>
      <c r="H112" s="23">
        <f t="shared" si="24"/>
        <v>0</v>
      </c>
      <c r="I112" s="23">
        <f t="shared" si="25"/>
        <v>0</v>
      </c>
      <c r="J112" s="23">
        <f t="shared" si="26"/>
        <v>0</v>
      </c>
      <c r="K112" s="23">
        <v>0.02</v>
      </c>
      <c r="L112" s="23">
        <f t="shared" si="27"/>
        <v>4.2824</v>
      </c>
      <c r="M112" s="35" t="s">
        <v>532</v>
      </c>
      <c r="Z112" s="38">
        <f t="shared" si="28"/>
        <v>0</v>
      </c>
      <c r="AB112" s="38">
        <f t="shared" si="29"/>
        <v>0</v>
      </c>
      <c r="AC112" s="38">
        <f t="shared" si="30"/>
        <v>0</v>
      </c>
      <c r="AD112" s="38">
        <f t="shared" si="31"/>
        <v>0</v>
      </c>
      <c r="AE112" s="38">
        <f t="shared" si="32"/>
        <v>0</v>
      </c>
      <c r="AF112" s="38">
        <f t="shared" si="33"/>
        <v>0</v>
      </c>
      <c r="AG112" s="38">
        <f t="shared" si="34"/>
        <v>0</v>
      </c>
      <c r="AH112" s="38">
        <f t="shared" si="35"/>
        <v>0</v>
      </c>
      <c r="AI112" s="30" t="s">
        <v>135</v>
      </c>
      <c r="AJ112" s="23">
        <f t="shared" si="36"/>
        <v>0</v>
      </c>
      <c r="AK112" s="23">
        <f t="shared" si="37"/>
        <v>0</v>
      </c>
      <c r="AL112" s="23">
        <f t="shared" si="38"/>
        <v>0</v>
      </c>
      <c r="AN112" s="38">
        <v>15</v>
      </c>
      <c r="AO112" s="38">
        <f>G112*1</f>
        <v>0</v>
      </c>
      <c r="AP112" s="38">
        <f>G112*(1-1)</f>
        <v>0</v>
      </c>
      <c r="AQ112" s="35" t="s">
        <v>7</v>
      </c>
      <c r="AV112" s="38">
        <f t="shared" si="41"/>
        <v>0</v>
      </c>
      <c r="AW112" s="38">
        <f t="shared" si="42"/>
        <v>0</v>
      </c>
      <c r="AX112" s="38">
        <f t="shared" si="43"/>
        <v>0</v>
      </c>
      <c r="AY112" s="39" t="s">
        <v>547</v>
      </c>
      <c r="AZ112" s="39" t="s">
        <v>572</v>
      </c>
      <c r="BA112" s="30" t="s">
        <v>588</v>
      </c>
      <c r="BC112" s="38">
        <f t="shared" si="44"/>
        <v>0</v>
      </c>
      <c r="BD112" s="38">
        <f t="shared" si="45"/>
        <v>0</v>
      </c>
      <c r="BE112" s="38">
        <v>0</v>
      </c>
      <c r="BF112" s="38">
        <f t="shared" si="46"/>
        <v>4.2824</v>
      </c>
      <c r="BH112" s="23">
        <f t="shared" si="47"/>
        <v>0</v>
      </c>
      <c r="BI112" s="23">
        <f t="shared" si="48"/>
        <v>0</v>
      </c>
      <c r="BJ112" s="23">
        <f t="shared" si="49"/>
        <v>0</v>
      </c>
    </row>
    <row r="113" spans="4:6" ht="12.75">
      <c r="D113" s="123" t="s">
        <v>362</v>
      </c>
      <c r="F113" s="22">
        <v>212</v>
      </c>
    </row>
    <row r="114" spans="4:6" ht="12.75">
      <c r="D114" s="123" t="s">
        <v>363</v>
      </c>
      <c r="F114" s="22">
        <v>2.12</v>
      </c>
    </row>
    <row r="115" spans="1:62" ht="25.5">
      <c r="A115" s="5" t="s">
        <v>54</v>
      </c>
      <c r="B115" s="5" t="s">
        <v>135</v>
      </c>
      <c r="C115" s="5" t="s">
        <v>187</v>
      </c>
      <c r="D115" s="122" t="s">
        <v>364</v>
      </c>
      <c r="E115" s="5" t="s">
        <v>506</v>
      </c>
      <c r="F115" s="21">
        <v>14</v>
      </c>
      <c r="G115" s="21">
        <v>0</v>
      </c>
      <c r="H115" s="21">
        <f>F115*AO115</f>
        <v>0</v>
      </c>
      <c r="I115" s="21">
        <f>F115*AP115</f>
        <v>0</v>
      </c>
      <c r="J115" s="21">
        <f>F115*G115</f>
        <v>0</v>
      </c>
      <c r="K115" s="21">
        <v>0</v>
      </c>
      <c r="L115" s="21">
        <f>F115*K115</f>
        <v>0</v>
      </c>
      <c r="M115" s="34" t="s">
        <v>531</v>
      </c>
      <c r="Z115" s="38">
        <f>IF(AQ115="5",BJ115,0)</f>
        <v>0</v>
      </c>
      <c r="AB115" s="38">
        <f>IF(AQ115="1",BH115,0)</f>
        <v>0</v>
      </c>
      <c r="AC115" s="38">
        <f>IF(AQ115="1",BI115,0)</f>
        <v>0</v>
      </c>
      <c r="AD115" s="38">
        <f>IF(AQ115="7",BH115,0)</f>
        <v>0</v>
      </c>
      <c r="AE115" s="38">
        <f>IF(AQ115="7",BI115,0)</f>
        <v>0</v>
      </c>
      <c r="AF115" s="38">
        <f>IF(AQ115="2",BH115,0)</f>
        <v>0</v>
      </c>
      <c r="AG115" s="38">
        <f>IF(AQ115="2",BI115,0)</f>
        <v>0</v>
      </c>
      <c r="AH115" s="38">
        <f>IF(AQ115="0",BJ115,0)</f>
        <v>0</v>
      </c>
      <c r="AI115" s="30" t="s">
        <v>135</v>
      </c>
      <c r="AJ115" s="21">
        <f>IF(AN115=0,J115,0)</f>
        <v>0</v>
      </c>
      <c r="AK115" s="21">
        <f>IF(AN115=15,J115,0)</f>
        <v>0</v>
      </c>
      <c r="AL115" s="21">
        <f>IF(AN115=21,J115,0)</f>
        <v>0</v>
      </c>
      <c r="AN115" s="38">
        <v>15</v>
      </c>
      <c r="AO115" s="38">
        <f>G115*0</f>
        <v>0</v>
      </c>
      <c r="AP115" s="38">
        <f>G115*(1-0)</f>
        <v>0</v>
      </c>
      <c r="AQ115" s="34" t="s">
        <v>7</v>
      </c>
      <c r="AV115" s="38">
        <f>AW115+AX115</f>
        <v>0</v>
      </c>
      <c r="AW115" s="38">
        <f>F115*AO115</f>
        <v>0</v>
      </c>
      <c r="AX115" s="38">
        <f>F115*AP115</f>
        <v>0</v>
      </c>
      <c r="AY115" s="39" t="s">
        <v>547</v>
      </c>
      <c r="AZ115" s="39" t="s">
        <v>572</v>
      </c>
      <c r="BA115" s="30" t="s">
        <v>588</v>
      </c>
      <c r="BC115" s="38">
        <f>AW115+AX115</f>
        <v>0</v>
      </c>
      <c r="BD115" s="38">
        <f>G115/(100-BE115)*100</f>
        <v>0</v>
      </c>
      <c r="BE115" s="38">
        <v>0</v>
      </c>
      <c r="BF115" s="38">
        <f>L115</f>
        <v>0</v>
      </c>
      <c r="BH115" s="21">
        <f>F115*AO115</f>
        <v>0</v>
      </c>
      <c r="BI115" s="21">
        <f>F115*AP115</f>
        <v>0</v>
      </c>
      <c r="BJ115" s="21">
        <f>F115*G115</f>
        <v>0</v>
      </c>
    </row>
    <row r="116" spans="1:62" ht="25.5">
      <c r="A116" s="5" t="s">
        <v>55</v>
      </c>
      <c r="B116" s="5" t="s">
        <v>135</v>
      </c>
      <c r="C116" s="5" t="s">
        <v>188</v>
      </c>
      <c r="D116" s="122" t="s">
        <v>365</v>
      </c>
      <c r="E116" s="5" t="s">
        <v>506</v>
      </c>
      <c r="F116" s="21">
        <v>18</v>
      </c>
      <c r="G116" s="21">
        <v>0</v>
      </c>
      <c r="H116" s="21">
        <f>F116*AO116</f>
        <v>0</v>
      </c>
      <c r="I116" s="21">
        <f>F116*AP116</f>
        <v>0</v>
      </c>
      <c r="J116" s="21">
        <f>F116*G116</f>
        <v>0</v>
      </c>
      <c r="K116" s="21">
        <v>0</v>
      </c>
      <c r="L116" s="21">
        <f>F116*K116</f>
        <v>0</v>
      </c>
      <c r="M116" s="34" t="s">
        <v>531</v>
      </c>
      <c r="Z116" s="38">
        <f>IF(AQ116="5",BJ116,0)</f>
        <v>0</v>
      </c>
      <c r="AB116" s="38">
        <f>IF(AQ116="1",BH116,0)</f>
        <v>0</v>
      </c>
      <c r="AC116" s="38">
        <f>IF(AQ116="1",BI116,0)</f>
        <v>0</v>
      </c>
      <c r="AD116" s="38">
        <f>IF(AQ116="7",BH116,0)</f>
        <v>0</v>
      </c>
      <c r="AE116" s="38">
        <f>IF(AQ116="7",BI116,0)</f>
        <v>0</v>
      </c>
      <c r="AF116" s="38">
        <f>IF(AQ116="2",BH116,0)</f>
        <v>0</v>
      </c>
      <c r="AG116" s="38">
        <f>IF(AQ116="2",BI116,0)</f>
        <v>0</v>
      </c>
      <c r="AH116" s="38">
        <f>IF(AQ116="0",BJ116,0)</f>
        <v>0</v>
      </c>
      <c r="AI116" s="30" t="s">
        <v>135</v>
      </c>
      <c r="AJ116" s="21">
        <f>IF(AN116=0,J116,0)</f>
        <v>0</v>
      </c>
      <c r="AK116" s="21">
        <f>IF(AN116=15,J116,0)</f>
        <v>0</v>
      </c>
      <c r="AL116" s="21">
        <f>IF(AN116=21,J116,0)</f>
        <v>0</v>
      </c>
      <c r="AN116" s="38">
        <v>15</v>
      </c>
      <c r="AO116" s="38">
        <f>G116*0</f>
        <v>0</v>
      </c>
      <c r="AP116" s="38">
        <f>G116*(1-0)</f>
        <v>0</v>
      </c>
      <c r="AQ116" s="34" t="s">
        <v>7</v>
      </c>
      <c r="AV116" s="38">
        <f>AW116+AX116</f>
        <v>0</v>
      </c>
      <c r="AW116" s="38">
        <f>F116*AO116</f>
        <v>0</v>
      </c>
      <c r="AX116" s="38">
        <f>F116*AP116</f>
        <v>0</v>
      </c>
      <c r="AY116" s="39" t="s">
        <v>547</v>
      </c>
      <c r="AZ116" s="39" t="s">
        <v>572</v>
      </c>
      <c r="BA116" s="30" t="s">
        <v>588</v>
      </c>
      <c r="BC116" s="38">
        <f>AW116+AX116</f>
        <v>0</v>
      </c>
      <c r="BD116" s="38">
        <f>G116/(100-BE116)*100</f>
        <v>0</v>
      </c>
      <c r="BE116" s="38">
        <v>0</v>
      </c>
      <c r="BF116" s="38">
        <f>L116</f>
        <v>0</v>
      </c>
      <c r="BH116" s="21">
        <f>F116*AO116</f>
        <v>0</v>
      </c>
      <c r="BI116" s="21">
        <f>F116*AP116</f>
        <v>0</v>
      </c>
      <c r="BJ116" s="21">
        <f>F116*G116</f>
        <v>0</v>
      </c>
    </row>
    <row r="117" spans="1:62" ht="12.75">
      <c r="A117" s="5" t="s">
        <v>56</v>
      </c>
      <c r="B117" s="5" t="s">
        <v>135</v>
      </c>
      <c r="C117" s="5" t="s">
        <v>189</v>
      </c>
      <c r="D117" s="122" t="s">
        <v>366</v>
      </c>
      <c r="E117" s="5" t="s">
        <v>509</v>
      </c>
      <c r="F117" s="21">
        <v>0.01</v>
      </c>
      <c r="G117" s="21">
        <v>0</v>
      </c>
      <c r="H117" s="21">
        <f>F117*AO117</f>
        <v>0</v>
      </c>
      <c r="I117" s="21">
        <f>F117*AP117</f>
        <v>0</v>
      </c>
      <c r="J117" s="21">
        <f>F117*G117</f>
        <v>0</v>
      </c>
      <c r="K117" s="21">
        <v>0</v>
      </c>
      <c r="L117" s="21">
        <f>F117*K117</f>
        <v>0</v>
      </c>
      <c r="M117" s="34" t="s">
        <v>531</v>
      </c>
      <c r="Z117" s="38">
        <f>IF(AQ117="5",BJ117,0)</f>
        <v>0</v>
      </c>
      <c r="AB117" s="38">
        <f>IF(AQ117="1",BH117,0)</f>
        <v>0</v>
      </c>
      <c r="AC117" s="38">
        <f>IF(AQ117="1",BI117,0)</f>
        <v>0</v>
      </c>
      <c r="AD117" s="38">
        <f>IF(AQ117="7",BH117,0)</f>
        <v>0</v>
      </c>
      <c r="AE117" s="38">
        <f>IF(AQ117="7",BI117,0)</f>
        <v>0</v>
      </c>
      <c r="AF117" s="38">
        <f>IF(AQ117="2",BH117,0)</f>
        <v>0</v>
      </c>
      <c r="AG117" s="38">
        <f>IF(AQ117="2",BI117,0)</f>
        <v>0</v>
      </c>
      <c r="AH117" s="38">
        <f>IF(AQ117="0",BJ117,0)</f>
        <v>0</v>
      </c>
      <c r="AI117" s="30" t="s">
        <v>135</v>
      </c>
      <c r="AJ117" s="21">
        <f>IF(AN117=0,J117,0)</f>
        <v>0</v>
      </c>
      <c r="AK117" s="21">
        <f>IF(AN117=15,J117,0)</f>
        <v>0</v>
      </c>
      <c r="AL117" s="21">
        <f>IF(AN117=21,J117,0)</f>
        <v>0</v>
      </c>
      <c r="AN117" s="38">
        <v>15</v>
      </c>
      <c r="AO117" s="38">
        <f>G117*0</f>
        <v>0</v>
      </c>
      <c r="AP117" s="38">
        <f>G117*(1-0)</f>
        <v>0</v>
      </c>
      <c r="AQ117" s="34" t="s">
        <v>7</v>
      </c>
      <c r="AV117" s="38">
        <f>AW117+AX117</f>
        <v>0</v>
      </c>
      <c r="AW117" s="38">
        <f>F117*AO117</f>
        <v>0</v>
      </c>
      <c r="AX117" s="38">
        <f>F117*AP117</f>
        <v>0</v>
      </c>
      <c r="AY117" s="39" t="s">
        <v>547</v>
      </c>
      <c r="AZ117" s="39" t="s">
        <v>572</v>
      </c>
      <c r="BA117" s="30" t="s">
        <v>588</v>
      </c>
      <c r="BC117" s="38">
        <f>AW117+AX117</f>
        <v>0</v>
      </c>
      <c r="BD117" s="38">
        <f>G117/(100-BE117)*100</f>
        <v>0</v>
      </c>
      <c r="BE117" s="38">
        <v>0</v>
      </c>
      <c r="BF117" s="38">
        <f>L117</f>
        <v>0</v>
      </c>
      <c r="BH117" s="21">
        <f>F117*AO117</f>
        <v>0</v>
      </c>
      <c r="BI117" s="21">
        <f>F117*AP117</f>
        <v>0</v>
      </c>
      <c r="BJ117" s="21">
        <f>F117*G117</f>
        <v>0</v>
      </c>
    </row>
    <row r="118" spans="1:62" ht="12.75">
      <c r="A118" s="7" t="s">
        <v>57</v>
      </c>
      <c r="B118" s="7" t="s">
        <v>135</v>
      </c>
      <c r="C118" s="7" t="s">
        <v>190</v>
      </c>
      <c r="D118" s="125" t="s">
        <v>367</v>
      </c>
      <c r="E118" s="7" t="s">
        <v>508</v>
      </c>
      <c r="F118" s="23">
        <v>8</v>
      </c>
      <c r="G118" s="23">
        <v>0</v>
      </c>
      <c r="H118" s="23">
        <f>F118*AO118</f>
        <v>0</v>
      </c>
      <c r="I118" s="23">
        <f>F118*AP118</f>
        <v>0</v>
      </c>
      <c r="J118" s="23">
        <f>F118*G118</f>
        <v>0</v>
      </c>
      <c r="K118" s="23">
        <v>0.001</v>
      </c>
      <c r="L118" s="23">
        <f>F118*K118</f>
        <v>0.008</v>
      </c>
      <c r="M118" s="35" t="s">
        <v>531</v>
      </c>
      <c r="Z118" s="38">
        <f>IF(AQ118="5",BJ118,0)</f>
        <v>0</v>
      </c>
      <c r="AB118" s="38">
        <f>IF(AQ118="1",BH118,0)</f>
        <v>0</v>
      </c>
      <c r="AC118" s="38">
        <f>IF(AQ118="1",BI118,0)</f>
        <v>0</v>
      </c>
      <c r="AD118" s="38">
        <f>IF(AQ118="7",BH118,0)</f>
        <v>0</v>
      </c>
      <c r="AE118" s="38">
        <f>IF(AQ118="7",BI118,0)</f>
        <v>0</v>
      </c>
      <c r="AF118" s="38">
        <f>IF(AQ118="2",BH118,0)</f>
        <v>0</v>
      </c>
      <c r="AG118" s="38">
        <f>IF(AQ118="2",BI118,0)</f>
        <v>0</v>
      </c>
      <c r="AH118" s="38">
        <f>IF(AQ118="0",BJ118,0)</f>
        <v>0</v>
      </c>
      <c r="AI118" s="30" t="s">
        <v>135</v>
      </c>
      <c r="AJ118" s="23">
        <f>IF(AN118=0,J118,0)</f>
        <v>0</v>
      </c>
      <c r="AK118" s="23">
        <f>IF(AN118=15,J118,0)</f>
        <v>0</v>
      </c>
      <c r="AL118" s="23">
        <f>IF(AN118=21,J118,0)</f>
        <v>0</v>
      </c>
      <c r="AN118" s="38">
        <v>15</v>
      </c>
      <c r="AO118" s="38">
        <f>G118*1</f>
        <v>0</v>
      </c>
      <c r="AP118" s="38">
        <f>G118*(1-1)</f>
        <v>0</v>
      </c>
      <c r="AQ118" s="35" t="s">
        <v>7</v>
      </c>
      <c r="AV118" s="38">
        <f>AW118+AX118</f>
        <v>0</v>
      </c>
      <c r="AW118" s="38">
        <f>F118*AO118</f>
        <v>0</v>
      </c>
      <c r="AX118" s="38">
        <f>F118*AP118</f>
        <v>0</v>
      </c>
      <c r="AY118" s="39" t="s">
        <v>547</v>
      </c>
      <c r="AZ118" s="39" t="s">
        <v>572</v>
      </c>
      <c r="BA118" s="30" t="s">
        <v>588</v>
      </c>
      <c r="BC118" s="38">
        <f>AW118+AX118</f>
        <v>0</v>
      </c>
      <c r="BD118" s="38">
        <f>G118/(100-BE118)*100</f>
        <v>0</v>
      </c>
      <c r="BE118" s="38">
        <v>0</v>
      </c>
      <c r="BF118" s="38">
        <f>L118</f>
        <v>0.008</v>
      </c>
      <c r="BH118" s="23">
        <f>F118*AO118</f>
        <v>0</v>
      </c>
      <c r="BI118" s="23">
        <f>F118*AP118</f>
        <v>0</v>
      </c>
      <c r="BJ118" s="23">
        <f>F118*G118</f>
        <v>0</v>
      </c>
    </row>
    <row r="119" spans="3:13" ht="12.75">
      <c r="C119" s="17" t="s">
        <v>175</v>
      </c>
      <c r="D119" s="87" t="s">
        <v>368</v>
      </c>
      <c r="E119" s="88"/>
      <c r="F119" s="88"/>
      <c r="G119" s="88"/>
      <c r="H119" s="88"/>
      <c r="I119" s="88"/>
      <c r="J119" s="88"/>
      <c r="K119" s="88"/>
      <c r="L119" s="88"/>
      <c r="M119" s="88"/>
    </row>
    <row r="120" spans="1:62" ht="25.5">
      <c r="A120" s="5" t="s">
        <v>58</v>
      </c>
      <c r="B120" s="5" t="s">
        <v>135</v>
      </c>
      <c r="C120" s="5" t="s">
        <v>191</v>
      </c>
      <c r="D120" s="122" t="s">
        <v>369</v>
      </c>
      <c r="E120" s="5" t="s">
        <v>505</v>
      </c>
      <c r="F120" s="21">
        <v>804</v>
      </c>
      <c r="G120" s="21">
        <v>0</v>
      </c>
      <c r="H120" s="21">
        <f>F120*AO120</f>
        <v>0</v>
      </c>
      <c r="I120" s="21">
        <f>F120*AP120</f>
        <v>0</v>
      </c>
      <c r="J120" s="21">
        <f>F120*G120</f>
        <v>0</v>
      </c>
      <c r="K120" s="21">
        <v>0</v>
      </c>
      <c r="L120" s="21">
        <f>F120*K120</f>
        <v>0</v>
      </c>
      <c r="M120" s="34" t="s">
        <v>531</v>
      </c>
      <c r="Z120" s="38">
        <f>IF(AQ120="5",BJ120,0)</f>
        <v>0</v>
      </c>
      <c r="AB120" s="38">
        <f>IF(AQ120="1",BH120,0)</f>
        <v>0</v>
      </c>
      <c r="AC120" s="38">
        <f>IF(AQ120="1",BI120,0)</f>
        <v>0</v>
      </c>
      <c r="AD120" s="38">
        <f>IF(AQ120="7",BH120,0)</f>
        <v>0</v>
      </c>
      <c r="AE120" s="38">
        <f>IF(AQ120="7",BI120,0)</f>
        <v>0</v>
      </c>
      <c r="AF120" s="38">
        <f>IF(AQ120="2",BH120,0)</f>
        <v>0</v>
      </c>
      <c r="AG120" s="38">
        <f>IF(AQ120="2",BI120,0)</f>
        <v>0</v>
      </c>
      <c r="AH120" s="38">
        <f>IF(AQ120="0",BJ120,0)</f>
        <v>0</v>
      </c>
      <c r="AI120" s="30" t="s">
        <v>135</v>
      </c>
      <c r="AJ120" s="21">
        <f>IF(AN120=0,J120,0)</f>
        <v>0</v>
      </c>
      <c r="AK120" s="21">
        <f>IF(AN120=15,J120,0)</f>
        <v>0</v>
      </c>
      <c r="AL120" s="21">
        <f>IF(AN120=21,J120,0)</f>
        <v>0</v>
      </c>
      <c r="AN120" s="38">
        <v>15</v>
      </c>
      <c r="AO120" s="38">
        <f>G120*0.00691236315698974</f>
        <v>0</v>
      </c>
      <c r="AP120" s="38">
        <f>G120*(1-0.00691236315698974)</f>
        <v>0</v>
      </c>
      <c r="AQ120" s="34" t="s">
        <v>7</v>
      </c>
      <c r="AV120" s="38">
        <f>AW120+AX120</f>
        <v>0</v>
      </c>
      <c r="AW120" s="38">
        <f>F120*AO120</f>
        <v>0</v>
      </c>
      <c r="AX120" s="38">
        <f>F120*AP120</f>
        <v>0</v>
      </c>
      <c r="AY120" s="39" t="s">
        <v>547</v>
      </c>
      <c r="AZ120" s="39" t="s">
        <v>572</v>
      </c>
      <c r="BA120" s="30" t="s">
        <v>588</v>
      </c>
      <c r="BC120" s="38">
        <f>AW120+AX120</f>
        <v>0</v>
      </c>
      <c r="BD120" s="38">
        <f>G120/(100-BE120)*100</f>
        <v>0</v>
      </c>
      <c r="BE120" s="38">
        <v>0</v>
      </c>
      <c r="BF120" s="38">
        <f>L120</f>
        <v>0</v>
      </c>
      <c r="BH120" s="21">
        <f>F120*AO120</f>
        <v>0</v>
      </c>
      <c r="BI120" s="21">
        <f>F120*AP120</f>
        <v>0</v>
      </c>
      <c r="BJ120" s="21">
        <f>F120*G120</f>
        <v>0</v>
      </c>
    </row>
    <row r="121" ht="12.75">
      <c r="D121" s="18" t="s">
        <v>370</v>
      </c>
    </row>
    <row r="122" spans="4:6" ht="12.75">
      <c r="D122" s="123" t="s">
        <v>371</v>
      </c>
      <c r="F122" s="22">
        <v>804</v>
      </c>
    </row>
    <row r="123" spans="1:62" ht="12.75">
      <c r="A123" s="5" t="s">
        <v>59</v>
      </c>
      <c r="B123" s="5" t="s">
        <v>135</v>
      </c>
      <c r="C123" s="5" t="s">
        <v>192</v>
      </c>
      <c r="D123" s="122" t="s">
        <v>372</v>
      </c>
      <c r="E123" s="5" t="s">
        <v>505</v>
      </c>
      <c r="F123" s="21">
        <v>75</v>
      </c>
      <c r="G123" s="21">
        <v>0</v>
      </c>
      <c r="H123" s="21">
        <f>F123*AO123</f>
        <v>0</v>
      </c>
      <c r="I123" s="21">
        <f>F123*AP123</f>
        <v>0</v>
      </c>
      <c r="J123" s="21">
        <f>F123*G123</f>
        <v>0</v>
      </c>
      <c r="K123" s="21">
        <v>0</v>
      </c>
      <c r="L123" s="21">
        <f>F123*K123</f>
        <v>0</v>
      </c>
      <c r="M123" s="34" t="s">
        <v>531</v>
      </c>
      <c r="Z123" s="38">
        <f>IF(AQ123="5",BJ123,0)</f>
        <v>0</v>
      </c>
      <c r="AB123" s="38">
        <f>IF(AQ123="1",BH123,0)</f>
        <v>0</v>
      </c>
      <c r="AC123" s="38">
        <f>IF(AQ123="1",BI123,0)</f>
        <v>0</v>
      </c>
      <c r="AD123" s="38">
        <f>IF(AQ123="7",BH123,0)</f>
        <v>0</v>
      </c>
      <c r="AE123" s="38">
        <f>IF(AQ123="7",BI123,0)</f>
        <v>0</v>
      </c>
      <c r="AF123" s="38">
        <f>IF(AQ123="2",BH123,0)</f>
        <v>0</v>
      </c>
      <c r="AG123" s="38">
        <f>IF(AQ123="2",BI123,0)</f>
        <v>0</v>
      </c>
      <c r="AH123" s="38">
        <f>IF(AQ123="0",BJ123,0)</f>
        <v>0</v>
      </c>
      <c r="AI123" s="30" t="s">
        <v>135</v>
      </c>
      <c r="AJ123" s="21">
        <f>IF(AN123=0,J123,0)</f>
        <v>0</v>
      </c>
      <c r="AK123" s="21">
        <f>IF(AN123=15,J123,0)</f>
        <v>0</v>
      </c>
      <c r="AL123" s="21">
        <f>IF(AN123=21,J123,0)</f>
        <v>0</v>
      </c>
      <c r="AN123" s="38">
        <v>15</v>
      </c>
      <c r="AO123" s="38">
        <f>G123*0</f>
        <v>0</v>
      </c>
      <c r="AP123" s="38">
        <f>G123*(1-0)</f>
        <v>0</v>
      </c>
      <c r="AQ123" s="34" t="s">
        <v>7</v>
      </c>
      <c r="AV123" s="38">
        <f>AW123+AX123</f>
        <v>0</v>
      </c>
      <c r="AW123" s="38">
        <f>F123*AO123</f>
        <v>0</v>
      </c>
      <c r="AX123" s="38">
        <f>F123*AP123</f>
        <v>0</v>
      </c>
      <c r="AY123" s="39" t="s">
        <v>547</v>
      </c>
      <c r="AZ123" s="39" t="s">
        <v>572</v>
      </c>
      <c r="BA123" s="30" t="s">
        <v>588</v>
      </c>
      <c r="BC123" s="38">
        <f>AW123+AX123</f>
        <v>0</v>
      </c>
      <c r="BD123" s="38">
        <f>G123/(100-BE123)*100</f>
        <v>0</v>
      </c>
      <c r="BE123" s="38">
        <v>0</v>
      </c>
      <c r="BF123" s="38">
        <f>L123</f>
        <v>0</v>
      </c>
      <c r="BH123" s="21">
        <f>F123*AO123</f>
        <v>0</v>
      </c>
      <c r="BI123" s="21">
        <f>F123*AP123</f>
        <v>0</v>
      </c>
      <c r="BJ123" s="21">
        <f>F123*G123</f>
        <v>0</v>
      </c>
    </row>
    <row r="124" spans="1:62" ht="12.75">
      <c r="A124" s="5" t="s">
        <v>60</v>
      </c>
      <c r="B124" s="5" t="s">
        <v>135</v>
      </c>
      <c r="C124" s="5" t="s">
        <v>193</v>
      </c>
      <c r="D124" s="122" t="s">
        <v>373</v>
      </c>
      <c r="E124" s="5" t="s">
        <v>505</v>
      </c>
      <c r="F124" s="21">
        <v>402</v>
      </c>
      <c r="G124" s="21">
        <v>0</v>
      </c>
      <c r="H124" s="21">
        <f>F124*AO124</f>
        <v>0</v>
      </c>
      <c r="I124" s="21">
        <f>F124*AP124</f>
        <v>0</v>
      </c>
      <c r="J124" s="21">
        <f>F124*G124</f>
        <v>0</v>
      </c>
      <c r="K124" s="21">
        <v>0</v>
      </c>
      <c r="L124" s="21">
        <f>F124*K124</f>
        <v>0</v>
      </c>
      <c r="M124" s="34" t="s">
        <v>531</v>
      </c>
      <c r="Z124" s="38">
        <f>IF(AQ124="5",BJ124,0)</f>
        <v>0</v>
      </c>
      <c r="AB124" s="38">
        <f>IF(AQ124="1",BH124,0)</f>
        <v>0</v>
      </c>
      <c r="AC124" s="38">
        <f>IF(AQ124="1",BI124,0)</f>
        <v>0</v>
      </c>
      <c r="AD124" s="38">
        <f>IF(AQ124="7",BH124,0)</f>
        <v>0</v>
      </c>
      <c r="AE124" s="38">
        <f>IF(AQ124="7",BI124,0)</f>
        <v>0</v>
      </c>
      <c r="AF124" s="38">
        <f>IF(AQ124="2",BH124,0)</f>
        <v>0</v>
      </c>
      <c r="AG124" s="38">
        <f>IF(AQ124="2",BI124,0)</f>
        <v>0</v>
      </c>
      <c r="AH124" s="38">
        <f>IF(AQ124="0",BJ124,0)</f>
        <v>0</v>
      </c>
      <c r="AI124" s="30" t="s">
        <v>135</v>
      </c>
      <c r="AJ124" s="21">
        <f>IF(AN124=0,J124,0)</f>
        <v>0</v>
      </c>
      <c r="AK124" s="21">
        <f>IF(AN124=15,J124,0)</f>
        <v>0</v>
      </c>
      <c r="AL124" s="21">
        <f>IF(AN124=21,J124,0)</f>
        <v>0</v>
      </c>
      <c r="AN124" s="38">
        <v>15</v>
      </c>
      <c r="AO124" s="38">
        <f>G124*0</f>
        <v>0</v>
      </c>
      <c r="AP124" s="38">
        <f>G124*(1-0)</f>
        <v>0</v>
      </c>
      <c r="AQ124" s="34" t="s">
        <v>7</v>
      </c>
      <c r="AV124" s="38">
        <f>AW124+AX124</f>
        <v>0</v>
      </c>
      <c r="AW124" s="38">
        <f>F124*AO124</f>
        <v>0</v>
      </c>
      <c r="AX124" s="38">
        <f>F124*AP124</f>
        <v>0</v>
      </c>
      <c r="AY124" s="39" t="s">
        <v>547</v>
      </c>
      <c r="AZ124" s="39" t="s">
        <v>572</v>
      </c>
      <c r="BA124" s="30" t="s">
        <v>588</v>
      </c>
      <c r="BC124" s="38">
        <f>AW124+AX124</f>
        <v>0</v>
      </c>
      <c r="BD124" s="38">
        <f>G124/(100-BE124)*100</f>
        <v>0</v>
      </c>
      <c r="BE124" s="38">
        <v>0</v>
      </c>
      <c r="BF124" s="38">
        <f>L124</f>
        <v>0</v>
      </c>
      <c r="BH124" s="21">
        <f>F124*AO124</f>
        <v>0</v>
      </c>
      <c r="BI124" s="21">
        <f>F124*AP124</f>
        <v>0</v>
      </c>
      <c r="BJ124" s="21">
        <f>F124*G124</f>
        <v>0</v>
      </c>
    </row>
    <row r="125" spans="1:62" ht="12.75">
      <c r="A125" s="5" t="s">
        <v>61</v>
      </c>
      <c r="B125" s="5" t="s">
        <v>135</v>
      </c>
      <c r="C125" s="5" t="s">
        <v>194</v>
      </c>
      <c r="D125" s="122" t="s">
        <v>374</v>
      </c>
      <c r="E125" s="5" t="s">
        <v>507</v>
      </c>
      <c r="F125" s="21">
        <v>1.9</v>
      </c>
      <c r="G125" s="21">
        <v>0</v>
      </c>
      <c r="H125" s="21">
        <f>F125*AO125</f>
        <v>0</v>
      </c>
      <c r="I125" s="21">
        <f>F125*AP125</f>
        <v>0</v>
      </c>
      <c r="J125" s="21">
        <f>F125*G125</f>
        <v>0</v>
      </c>
      <c r="K125" s="21">
        <v>0</v>
      </c>
      <c r="L125" s="21">
        <f>F125*K125</f>
        <v>0</v>
      </c>
      <c r="M125" s="34" t="s">
        <v>531</v>
      </c>
      <c r="Z125" s="38">
        <f>IF(AQ125="5",BJ125,0)</f>
        <v>0</v>
      </c>
      <c r="AB125" s="38">
        <f>IF(AQ125="1",BH125,0)</f>
        <v>0</v>
      </c>
      <c r="AC125" s="38">
        <f>IF(AQ125="1",BI125,0)</f>
        <v>0</v>
      </c>
      <c r="AD125" s="38">
        <f>IF(AQ125="7",BH125,0)</f>
        <v>0</v>
      </c>
      <c r="AE125" s="38">
        <f>IF(AQ125="7",BI125,0)</f>
        <v>0</v>
      </c>
      <c r="AF125" s="38">
        <f>IF(AQ125="2",BH125,0)</f>
        <v>0</v>
      </c>
      <c r="AG125" s="38">
        <f>IF(AQ125="2",BI125,0)</f>
        <v>0</v>
      </c>
      <c r="AH125" s="38">
        <f>IF(AQ125="0",BJ125,0)</f>
        <v>0</v>
      </c>
      <c r="AI125" s="30" t="s">
        <v>135</v>
      </c>
      <c r="AJ125" s="21">
        <f>IF(AN125=0,J125,0)</f>
        <v>0</v>
      </c>
      <c r="AK125" s="21">
        <f>IF(AN125=15,J125,0)</f>
        <v>0</v>
      </c>
      <c r="AL125" s="21">
        <f>IF(AN125=21,J125,0)</f>
        <v>0</v>
      </c>
      <c r="AN125" s="38">
        <v>15</v>
      </c>
      <c r="AO125" s="38">
        <f>G125*0.310077519379845</f>
        <v>0</v>
      </c>
      <c r="AP125" s="38">
        <f>G125*(1-0.310077519379845)</f>
        <v>0</v>
      </c>
      <c r="AQ125" s="34" t="s">
        <v>7</v>
      </c>
      <c r="AV125" s="38">
        <f>AW125+AX125</f>
        <v>0</v>
      </c>
      <c r="AW125" s="38">
        <f>F125*AO125</f>
        <v>0</v>
      </c>
      <c r="AX125" s="38">
        <f>F125*AP125</f>
        <v>0</v>
      </c>
      <c r="AY125" s="39" t="s">
        <v>547</v>
      </c>
      <c r="AZ125" s="39" t="s">
        <v>572</v>
      </c>
      <c r="BA125" s="30" t="s">
        <v>588</v>
      </c>
      <c r="BC125" s="38">
        <f>AW125+AX125</f>
        <v>0</v>
      </c>
      <c r="BD125" s="38">
        <f>G125/(100-BE125)*100</f>
        <v>0</v>
      </c>
      <c r="BE125" s="38">
        <v>0</v>
      </c>
      <c r="BF125" s="38">
        <f>L125</f>
        <v>0</v>
      </c>
      <c r="BH125" s="21">
        <f>F125*AO125</f>
        <v>0</v>
      </c>
      <c r="BI125" s="21">
        <f>F125*AP125</f>
        <v>0</v>
      </c>
      <c r="BJ125" s="21">
        <f>F125*G125</f>
        <v>0</v>
      </c>
    </row>
    <row r="126" spans="3:13" ht="12.75">
      <c r="C126" s="16" t="s">
        <v>131</v>
      </c>
      <c r="D126" s="85" t="s">
        <v>375</v>
      </c>
      <c r="E126" s="86"/>
      <c r="F126" s="86"/>
      <c r="G126" s="86"/>
      <c r="H126" s="86"/>
      <c r="I126" s="86"/>
      <c r="J126" s="86"/>
      <c r="K126" s="86"/>
      <c r="L126" s="86"/>
      <c r="M126" s="86"/>
    </row>
    <row r="127" spans="1:62" ht="12.75">
      <c r="A127" s="5" t="s">
        <v>62</v>
      </c>
      <c r="B127" s="5" t="s">
        <v>135</v>
      </c>
      <c r="C127" s="5" t="s">
        <v>195</v>
      </c>
      <c r="D127" s="122" t="s">
        <v>376</v>
      </c>
      <c r="E127" s="5" t="s">
        <v>505</v>
      </c>
      <c r="F127" s="21">
        <v>75</v>
      </c>
      <c r="G127" s="21">
        <v>0</v>
      </c>
      <c r="H127" s="21">
        <f aca="true" t="shared" si="50" ref="H127:H132">F127*AO127</f>
        <v>0</v>
      </c>
      <c r="I127" s="21">
        <f aca="true" t="shared" si="51" ref="I127:I132">F127*AP127</f>
        <v>0</v>
      </c>
      <c r="J127" s="21">
        <f aca="true" t="shared" si="52" ref="J127:J132">F127*G127</f>
        <v>0</v>
      </c>
      <c r="K127" s="21">
        <v>0</v>
      </c>
      <c r="L127" s="21">
        <f aca="true" t="shared" si="53" ref="L127:L132">F127*K127</f>
        <v>0</v>
      </c>
      <c r="M127" s="34" t="s">
        <v>531</v>
      </c>
      <c r="Z127" s="38">
        <f aca="true" t="shared" si="54" ref="Z127:Z132">IF(AQ127="5",BJ127,0)</f>
        <v>0</v>
      </c>
      <c r="AB127" s="38">
        <f aca="true" t="shared" si="55" ref="AB127:AB132">IF(AQ127="1",BH127,0)</f>
        <v>0</v>
      </c>
      <c r="AC127" s="38">
        <f aca="true" t="shared" si="56" ref="AC127:AC132">IF(AQ127="1",BI127,0)</f>
        <v>0</v>
      </c>
      <c r="AD127" s="38">
        <f aca="true" t="shared" si="57" ref="AD127:AD132">IF(AQ127="7",BH127,0)</f>
        <v>0</v>
      </c>
      <c r="AE127" s="38">
        <f aca="true" t="shared" si="58" ref="AE127:AE132">IF(AQ127="7",BI127,0)</f>
        <v>0</v>
      </c>
      <c r="AF127" s="38">
        <f aca="true" t="shared" si="59" ref="AF127:AF132">IF(AQ127="2",BH127,0)</f>
        <v>0</v>
      </c>
      <c r="AG127" s="38">
        <f aca="true" t="shared" si="60" ref="AG127:AG132">IF(AQ127="2",BI127,0)</f>
        <v>0</v>
      </c>
      <c r="AH127" s="38">
        <f aca="true" t="shared" si="61" ref="AH127:AH132">IF(AQ127="0",BJ127,0)</f>
        <v>0</v>
      </c>
      <c r="AI127" s="30" t="s">
        <v>135</v>
      </c>
      <c r="AJ127" s="21">
        <f aca="true" t="shared" si="62" ref="AJ127:AJ132">IF(AN127=0,J127,0)</f>
        <v>0</v>
      </c>
      <c r="AK127" s="21">
        <f aca="true" t="shared" si="63" ref="AK127:AK132">IF(AN127=15,J127,0)</f>
        <v>0</v>
      </c>
      <c r="AL127" s="21">
        <f aca="true" t="shared" si="64" ref="AL127:AL132">IF(AN127=21,J127,0)</f>
        <v>0</v>
      </c>
      <c r="AN127" s="38">
        <v>15</v>
      </c>
      <c r="AO127" s="38">
        <f>G127*0</f>
        <v>0</v>
      </c>
      <c r="AP127" s="38">
        <f>G127*(1-0)</f>
        <v>0</v>
      </c>
      <c r="AQ127" s="34" t="s">
        <v>7</v>
      </c>
      <c r="AV127" s="38">
        <f aca="true" t="shared" si="65" ref="AV127:AV132">AW127+AX127</f>
        <v>0</v>
      </c>
      <c r="AW127" s="38">
        <f aca="true" t="shared" si="66" ref="AW127:AW132">F127*AO127</f>
        <v>0</v>
      </c>
      <c r="AX127" s="38">
        <f aca="true" t="shared" si="67" ref="AX127:AX132">F127*AP127</f>
        <v>0</v>
      </c>
      <c r="AY127" s="39" t="s">
        <v>547</v>
      </c>
      <c r="AZ127" s="39" t="s">
        <v>572</v>
      </c>
      <c r="BA127" s="30" t="s">
        <v>588</v>
      </c>
      <c r="BC127" s="38">
        <f aca="true" t="shared" si="68" ref="BC127:BC132">AW127+AX127</f>
        <v>0</v>
      </c>
      <c r="BD127" s="38">
        <f aca="true" t="shared" si="69" ref="BD127:BD132">G127/(100-BE127)*100</f>
        <v>0</v>
      </c>
      <c r="BE127" s="38">
        <v>0</v>
      </c>
      <c r="BF127" s="38">
        <f aca="true" t="shared" si="70" ref="BF127:BF132">L127</f>
        <v>0</v>
      </c>
      <c r="BH127" s="21">
        <f aca="true" t="shared" si="71" ref="BH127:BH132">F127*AO127</f>
        <v>0</v>
      </c>
      <c r="BI127" s="21">
        <f aca="true" t="shared" si="72" ref="BI127:BI132">F127*AP127</f>
        <v>0</v>
      </c>
      <c r="BJ127" s="21">
        <f aca="true" t="shared" si="73" ref="BJ127:BJ132">F127*G127</f>
        <v>0</v>
      </c>
    </row>
    <row r="128" spans="1:62" ht="12.75">
      <c r="A128" s="5" t="s">
        <v>63</v>
      </c>
      <c r="B128" s="5" t="s">
        <v>135</v>
      </c>
      <c r="C128" s="5" t="s">
        <v>196</v>
      </c>
      <c r="D128" s="122" t="s">
        <v>377</v>
      </c>
      <c r="E128" s="5" t="s">
        <v>505</v>
      </c>
      <c r="F128" s="21">
        <v>54.8</v>
      </c>
      <c r="G128" s="21">
        <v>0</v>
      </c>
      <c r="H128" s="21">
        <f t="shared" si="50"/>
        <v>0</v>
      </c>
      <c r="I128" s="21">
        <f t="shared" si="51"/>
        <v>0</v>
      </c>
      <c r="J128" s="21">
        <f t="shared" si="52"/>
        <v>0</v>
      </c>
      <c r="K128" s="21">
        <v>0</v>
      </c>
      <c r="L128" s="21">
        <f t="shared" si="53"/>
        <v>0</v>
      </c>
      <c r="M128" s="34" t="s">
        <v>531</v>
      </c>
      <c r="Z128" s="38">
        <f t="shared" si="54"/>
        <v>0</v>
      </c>
      <c r="AB128" s="38">
        <f t="shared" si="55"/>
        <v>0</v>
      </c>
      <c r="AC128" s="38">
        <f t="shared" si="56"/>
        <v>0</v>
      </c>
      <c r="AD128" s="38">
        <f t="shared" si="57"/>
        <v>0</v>
      </c>
      <c r="AE128" s="38">
        <f t="shared" si="58"/>
        <v>0</v>
      </c>
      <c r="AF128" s="38">
        <f t="shared" si="59"/>
        <v>0</v>
      </c>
      <c r="AG128" s="38">
        <f t="shared" si="60"/>
        <v>0</v>
      </c>
      <c r="AH128" s="38">
        <f t="shared" si="61"/>
        <v>0</v>
      </c>
      <c r="AI128" s="30" t="s">
        <v>135</v>
      </c>
      <c r="AJ128" s="21">
        <f t="shared" si="62"/>
        <v>0</v>
      </c>
      <c r="AK128" s="21">
        <f t="shared" si="63"/>
        <v>0</v>
      </c>
      <c r="AL128" s="21">
        <f t="shared" si="64"/>
        <v>0</v>
      </c>
      <c r="AN128" s="38">
        <v>15</v>
      </c>
      <c r="AO128" s="38">
        <f>G128*0.0689597315436242</f>
        <v>0</v>
      </c>
      <c r="AP128" s="38">
        <f>G128*(1-0.0689597315436242)</f>
        <v>0</v>
      </c>
      <c r="AQ128" s="34" t="s">
        <v>7</v>
      </c>
      <c r="AV128" s="38">
        <f t="shared" si="65"/>
        <v>0</v>
      </c>
      <c r="AW128" s="38">
        <f t="shared" si="66"/>
        <v>0</v>
      </c>
      <c r="AX128" s="38">
        <f t="shared" si="67"/>
        <v>0</v>
      </c>
      <c r="AY128" s="39" t="s">
        <v>547</v>
      </c>
      <c r="AZ128" s="39" t="s">
        <v>572</v>
      </c>
      <c r="BA128" s="30" t="s">
        <v>588</v>
      </c>
      <c r="BC128" s="38">
        <f t="shared" si="68"/>
        <v>0</v>
      </c>
      <c r="BD128" s="38">
        <f t="shared" si="69"/>
        <v>0</v>
      </c>
      <c r="BE128" s="38">
        <v>0</v>
      </c>
      <c r="BF128" s="38">
        <f t="shared" si="70"/>
        <v>0</v>
      </c>
      <c r="BH128" s="21">
        <f t="shared" si="71"/>
        <v>0</v>
      </c>
      <c r="BI128" s="21">
        <f t="shared" si="72"/>
        <v>0</v>
      </c>
      <c r="BJ128" s="21">
        <f t="shared" si="73"/>
        <v>0</v>
      </c>
    </row>
    <row r="129" spans="1:62" ht="25.5">
      <c r="A129" s="7" t="s">
        <v>64</v>
      </c>
      <c r="B129" s="7" t="s">
        <v>135</v>
      </c>
      <c r="C129" s="7" t="s">
        <v>197</v>
      </c>
      <c r="D129" s="125" t="s">
        <v>378</v>
      </c>
      <c r="E129" s="7" t="s">
        <v>508</v>
      </c>
      <c r="F129" s="23">
        <v>0.5</v>
      </c>
      <c r="G129" s="23">
        <v>0</v>
      </c>
      <c r="H129" s="23">
        <f t="shared" si="50"/>
        <v>0</v>
      </c>
      <c r="I129" s="23">
        <f t="shared" si="51"/>
        <v>0</v>
      </c>
      <c r="J129" s="23">
        <f t="shared" si="52"/>
        <v>0</v>
      </c>
      <c r="K129" s="23">
        <v>0.001</v>
      </c>
      <c r="L129" s="23">
        <f t="shared" si="53"/>
        <v>0.0005</v>
      </c>
      <c r="M129" s="35" t="s">
        <v>532</v>
      </c>
      <c r="Z129" s="38">
        <f t="shared" si="54"/>
        <v>0</v>
      </c>
      <c r="AB129" s="38">
        <f t="shared" si="55"/>
        <v>0</v>
      </c>
      <c r="AC129" s="38">
        <f t="shared" si="56"/>
        <v>0</v>
      </c>
      <c r="AD129" s="38">
        <f t="shared" si="57"/>
        <v>0</v>
      </c>
      <c r="AE129" s="38">
        <f t="shared" si="58"/>
        <v>0</v>
      </c>
      <c r="AF129" s="38">
        <f t="shared" si="59"/>
        <v>0</v>
      </c>
      <c r="AG129" s="38">
        <f t="shared" si="60"/>
        <v>0</v>
      </c>
      <c r="AH129" s="38">
        <f t="shared" si="61"/>
        <v>0</v>
      </c>
      <c r="AI129" s="30" t="s">
        <v>135</v>
      </c>
      <c r="AJ129" s="23">
        <f t="shared" si="62"/>
        <v>0</v>
      </c>
      <c r="AK129" s="23">
        <f t="shared" si="63"/>
        <v>0</v>
      </c>
      <c r="AL129" s="23">
        <f t="shared" si="64"/>
        <v>0</v>
      </c>
      <c r="AN129" s="38">
        <v>15</v>
      </c>
      <c r="AO129" s="38">
        <f>G129*1</f>
        <v>0</v>
      </c>
      <c r="AP129" s="38">
        <f>G129*(1-1)</f>
        <v>0</v>
      </c>
      <c r="AQ129" s="35" t="s">
        <v>7</v>
      </c>
      <c r="AV129" s="38">
        <f t="shared" si="65"/>
        <v>0</v>
      </c>
      <c r="AW129" s="38">
        <f t="shared" si="66"/>
        <v>0</v>
      </c>
      <c r="AX129" s="38">
        <f t="shared" si="67"/>
        <v>0</v>
      </c>
      <c r="AY129" s="39" t="s">
        <v>547</v>
      </c>
      <c r="AZ129" s="39" t="s">
        <v>572</v>
      </c>
      <c r="BA129" s="30" t="s">
        <v>588</v>
      </c>
      <c r="BC129" s="38">
        <f t="shared" si="68"/>
        <v>0</v>
      </c>
      <c r="BD129" s="38">
        <f t="shared" si="69"/>
        <v>0</v>
      </c>
      <c r="BE129" s="38">
        <v>0</v>
      </c>
      <c r="BF129" s="38">
        <f t="shared" si="70"/>
        <v>0.0005</v>
      </c>
      <c r="BH129" s="23">
        <f t="shared" si="71"/>
        <v>0</v>
      </c>
      <c r="BI129" s="23">
        <f t="shared" si="72"/>
        <v>0</v>
      </c>
      <c r="BJ129" s="23">
        <f t="shared" si="73"/>
        <v>0</v>
      </c>
    </row>
    <row r="130" spans="1:62" ht="12.75">
      <c r="A130" s="5" t="s">
        <v>65</v>
      </c>
      <c r="B130" s="5" t="s">
        <v>135</v>
      </c>
      <c r="C130" s="5" t="s">
        <v>198</v>
      </c>
      <c r="D130" s="122" t="s">
        <v>379</v>
      </c>
      <c r="E130" s="5" t="s">
        <v>506</v>
      </c>
      <c r="F130" s="21">
        <v>3</v>
      </c>
      <c r="G130" s="21">
        <v>0</v>
      </c>
      <c r="H130" s="21">
        <f t="shared" si="50"/>
        <v>0</v>
      </c>
      <c r="I130" s="21">
        <f t="shared" si="51"/>
        <v>0</v>
      </c>
      <c r="J130" s="21">
        <f t="shared" si="52"/>
        <v>0</v>
      </c>
      <c r="K130" s="21">
        <v>0</v>
      </c>
      <c r="L130" s="21">
        <f t="shared" si="53"/>
        <v>0</v>
      </c>
      <c r="M130" s="34" t="s">
        <v>531</v>
      </c>
      <c r="Z130" s="38">
        <f t="shared" si="54"/>
        <v>0</v>
      </c>
      <c r="AB130" s="38">
        <f t="shared" si="55"/>
        <v>0</v>
      </c>
      <c r="AC130" s="38">
        <f t="shared" si="56"/>
        <v>0</v>
      </c>
      <c r="AD130" s="38">
        <f t="shared" si="57"/>
        <v>0</v>
      </c>
      <c r="AE130" s="38">
        <f t="shared" si="58"/>
        <v>0</v>
      </c>
      <c r="AF130" s="38">
        <f t="shared" si="59"/>
        <v>0</v>
      </c>
      <c r="AG130" s="38">
        <f t="shared" si="60"/>
        <v>0</v>
      </c>
      <c r="AH130" s="38">
        <f t="shared" si="61"/>
        <v>0</v>
      </c>
      <c r="AI130" s="30" t="s">
        <v>135</v>
      </c>
      <c r="AJ130" s="21">
        <f t="shared" si="62"/>
        <v>0</v>
      </c>
      <c r="AK130" s="21">
        <f t="shared" si="63"/>
        <v>0</v>
      </c>
      <c r="AL130" s="21">
        <f t="shared" si="64"/>
        <v>0</v>
      </c>
      <c r="AN130" s="38">
        <v>15</v>
      </c>
      <c r="AO130" s="38">
        <f>G130*0</f>
        <v>0</v>
      </c>
      <c r="AP130" s="38">
        <f>G130*(1-0)</f>
        <v>0</v>
      </c>
      <c r="AQ130" s="34" t="s">
        <v>7</v>
      </c>
      <c r="AV130" s="38">
        <f t="shared" si="65"/>
        <v>0</v>
      </c>
      <c r="AW130" s="38">
        <f t="shared" si="66"/>
        <v>0</v>
      </c>
      <c r="AX130" s="38">
        <f t="shared" si="67"/>
        <v>0</v>
      </c>
      <c r="AY130" s="39" t="s">
        <v>547</v>
      </c>
      <c r="AZ130" s="39" t="s">
        <v>572</v>
      </c>
      <c r="BA130" s="30" t="s">
        <v>588</v>
      </c>
      <c r="BC130" s="38">
        <f t="shared" si="68"/>
        <v>0</v>
      </c>
      <c r="BD130" s="38">
        <f t="shared" si="69"/>
        <v>0</v>
      </c>
      <c r="BE130" s="38">
        <v>0</v>
      </c>
      <c r="BF130" s="38">
        <f t="shared" si="70"/>
        <v>0</v>
      </c>
      <c r="BH130" s="21">
        <f t="shared" si="71"/>
        <v>0</v>
      </c>
      <c r="BI130" s="21">
        <f t="shared" si="72"/>
        <v>0</v>
      </c>
      <c r="BJ130" s="21">
        <f t="shared" si="73"/>
        <v>0</v>
      </c>
    </row>
    <row r="131" spans="1:62" ht="12.75">
      <c r="A131" s="5" t="s">
        <v>66</v>
      </c>
      <c r="B131" s="5" t="s">
        <v>135</v>
      </c>
      <c r="C131" s="5" t="s">
        <v>199</v>
      </c>
      <c r="D131" s="122" t="s">
        <v>380</v>
      </c>
      <c r="E131" s="5" t="s">
        <v>506</v>
      </c>
      <c r="F131" s="21">
        <v>3</v>
      </c>
      <c r="G131" s="21">
        <v>0</v>
      </c>
      <c r="H131" s="21">
        <f t="shared" si="50"/>
        <v>0</v>
      </c>
      <c r="I131" s="21">
        <f t="shared" si="51"/>
        <v>0</v>
      </c>
      <c r="J131" s="21">
        <f t="shared" si="52"/>
        <v>0</v>
      </c>
      <c r="K131" s="21">
        <v>0.00056</v>
      </c>
      <c r="L131" s="21">
        <f t="shared" si="53"/>
        <v>0.0016799999999999999</v>
      </c>
      <c r="M131" s="34" t="s">
        <v>531</v>
      </c>
      <c r="Z131" s="38">
        <f t="shared" si="54"/>
        <v>0</v>
      </c>
      <c r="AB131" s="38">
        <f t="shared" si="55"/>
        <v>0</v>
      </c>
      <c r="AC131" s="38">
        <f t="shared" si="56"/>
        <v>0</v>
      </c>
      <c r="AD131" s="38">
        <f t="shared" si="57"/>
        <v>0</v>
      </c>
      <c r="AE131" s="38">
        <f t="shared" si="58"/>
        <v>0</v>
      </c>
      <c r="AF131" s="38">
        <f t="shared" si="59"/>
        <v>0</v>
      </c>
      <c r="AG131" s="38">
        <f t="shared" si="60"/>
        <v>0</v>
      </c>
      <c r="AH131" s="38">
        <f t="shared" si="61"/>
        <v>0</v>
      </c>
      <c r="AI131" s="30" t="s">
        <v>135</v>
      </c>
      <c r="AJ131" s="21">
        <f t="shared" si="62"/>
        <v>0</v>
      </c>
      <c r="AK131" s="21">
        <f t="shared" si="63"/>
        <v>0</v>
      </c>
      <c r="AL131" s="21">
        <f t="shared" si="64"/>
        <v>0</v>
      </c>
      <c r="AN131" s="38">
        <v>15</v>
      </c>
      <c r="AO131" s="38">
        <f>G131*0.112840158520476</f>
        <v>0</v>
      </c>
      <c r="AP131" s="38">
        <f>G131*(1-0.112840158520476)</f>
        <v>0</v>
      </c>
      <c r="AQ131" s="34" t="s">
        <v>7</v>
      </c>
      <c r="AV131" s="38">
        <f t="shared" si="65"/>
        <v>0</v>
      </c>
      <c r="AW131" s="38">
        <f t="shared" si="66"/>
        <v>0</v>
      </c>
      <c r="AX131" s="38">
        <f t="shared" si="67"/>
        <v>0</v>
      </c>
      <c r="AY131" s="39" t="s">
        <v>547</v>
      </c>
      <c r="AZ131" s="39" t="s">
        <v>572</v>
      </c>
      <c r="BA131" s="30" t="s">
        <v>588</v>
      </c>
      <c r="BC131" s="38">
        <f t="shared" si="68"/>
        <v>0</v>
      </c>
      <c r="BD131" s="38">
        <f t="shared" si="69"/>
        <v>0</v>
      </c>
      <c r="BE131" s="38">
        <v>0</v>
      </c>
      <c r="BF131" s="38">
        <f t="shared" si="70"/>
        <v>0.0016799999999999999</v>
      </c>
      <c r="BH131" s="21">
        <f t="shared" si="71"/>
        <v>0</v>
      </c>
      <c r="BI131" s="21">
        <f t="shared" si="72"/>
        <v>0</v>
      </c>
      <c r="BJ131" s="21">
        <f t="shared" si="73"/>
        <v>0</v>
      </c>
    </row>
    <row r="132" spans="1:62" ht="12.75">
      <c r="A132" s="7" t="s">
        <v>67</v>
      </c>
      <c r="B132" s="7" t="s">
        <v>135</v>
      </c>
      <c r="C132" s="7" t="s">
        <v>200</v>
      </c>
      <c r="D132" s="125" t="s">
        <v>381</v>
      </c>
      <c r="E132" s="7" t="s">
        <v>506</v>
      </c>
      <c r="F132" s="23">
        <v>9</v>
      </c>
      <c r="G132" s="23">
        <v>0</v>
      </c>
      <c r="H132" s="23">
        <f t="shared" si="50"/>
        <v>0</v>
      </c>
      <c r="I132" s="23">
        <f t="shared" si="51"/>
        <v>0</v>
      </c>
      <c r="J132" s="23">
        <f t="shared" si="52"/>
        <v>0</v>
      </c>
      <c r="K132" s="23">
        <v>0.00319</v>
      </c>
      <c r="L132" s="23">
        <f t="shared" si="53"/>
        <v>0.02871</v>
      </c>
      <c r="M132" s="35" t="s">
        <v>531</v>
      </c>
      <c r="Z132" s="38">
        <f t="shared" si="54"/>
        <v>0</v>
      </c>
      <c r="AB132" s="38">
        <f t="shared" si="55"/>
        <v>0</v>
      </c>
      <c r="AC132" s="38">
        <f t="shared" si="56"/>
        <v>0</v>
      </c>
      <c r="AD132" s="38">
        <f t="shared" si="57"/>
        <v>0</v>
      </c>
      <c r="AE132" s="38">
        <f t="shared" si="58"/>
        <v>0</v>
      </c>
      <c r="AF132" s="38">
        <f t="shared" si="59"/>
        <v>0</v>
      </c>
      <c r="AG132" s="38">
        <f t="shared" si="60"/>
        <v>0</v>
      </c>
      <c r="AH132" s="38">
        <f t="shared" si="61"/>
        <v>0</v>
      </c>
      <c r="AI132" s="30" t="s">
        <v>135</v>
      </c>
      <c r="AJ132" s="23">
        <f t="shared" si="62"/>
        <v>0</v>
      </c>
      <c r="AK132" s="23">
        <f t="shared" si="63"/>
        <v>0</v>
      </c>
      <c r="AL132" s="23">
        <f t="shared" si="64"/>
        <v>0</v>
      </c>
      <c r="AN132" s="38">
        <v>15</v>
      </c>
      <c r="AO132" s="38">
        <f>G132*1</f>
        <v>0</v>
      </c>
      <c r="AP132" s="38">
        <f>G132*(1-1)</f>
        <v>0</v>
      </c>
      <c r="AQ132" s="35" t="s">
        <v>7</v>
      </c>
      <c r="AV132" s="38">
        <f t="shared" si="65"/>
        <v>0</v>
      </c>
      <c r="AW132" s="38">
        <f t="shared" si="66"/>
        <v>0</v>
      </c>
      <c r="AX132" s="38">
        <f t="shared" si="67"/>
        <v>0</v>
      </c>
      <c r="AY132" s="39" t="s">
        <v>547</v>
      </c>
      <c r="AZ132" s="39" t="s">
        <v>572</v>
      </c>
      <c r="BA132" s="30" t="s">
        <v>588</v>
      </c>
      <c r="BC132" s="38">
        <f t="shared" si="68"/>
        <v>0</v>
      </c>
      <c r="BD132" s="38">
        <f t="shared" si="69"/>
        <v>0</v>
      </c>
      <c r="BE132" s="38">
        <v>0</v>
      </c>
      <c r="BF132" s="38">
        <f t="shared" si="70"/>
        <v>0.02871</v>
      </c>
      <c r="BH132" s="23">
        <f t="shared" si="71"/>
        <v>0</v>
      </c>
      <c r="BI132" s="23">
        <f t="shared" si="72"/>
        <v>0</v>
      </c>
      <c r="BJ132" s="23">
        <f t="shared" si="73"/>
        <v>0</v>
      </c>
    </row>
    <row r="133" spans="3:13" ht="12.75">
      <c r="C133" s="17" t="s">
        <v>175</v>
      </c>
      <c r="D133" s="87" t="s">
        <v>382</v>
      </c>
      <c r="E133" s="88"/>
      <c r="F133" s="88"/>
      <c r="G133" s="88"/>
      <c r="H133" s="88"/>
      <c r="I133" s="88"/>
      <c r="J133" s="88"/>
      <c r="K133" s="88"/>
      <c r="L133" s="88"/>
      <c r="M133" s="88"/>
    </row>
    <row r="134" spans="1:62" ht="25.5">
      <c r="A134" s="7" t="s">
        <v>68</v>
      </c>
      <c r="B134" s="7" t="s">
        <v>135</v>
      </c>
      <c r="C134" s="7" t="s">
        <v>201</v>
      </c>
      <c r="D134" s="125" t="s">
        <v>383</v>
      </c>
      <c r="E134" s="7" t="s">
        <v>506</v>
      </c>
      <c r="F134" s="23">
        <v>18</v>
      </c>
      <c r="G134" s="23">
        <v>0</v>
      </c>
      <c r="H134" s="23">
        <f>F134*AO134</f>
        <v>0</v>
      </c>
      <c r="I134" s="23">
        <f>F134*AP134</f>
        <v>0</v>
      </c>
      <c r="J134" s="23">
        <f>F134*G134</f>
        <v>0</v>
      </c>
      <c r="K134" s="23">
        <v>0.00031</v>
      </c>
      <c r="L134" s="23">
        <f>F134*K134</f>
        <v>0.00558</v>
      </c>
      <c r="M134" s="35" t="s">
        <v>531</v>
      </c>
      <c r="Z134" s="38">
        <f>IF(AQ134="5",BJ134,0)</f>
        <v>0</v>
      </c>
      <c r="AB134" s="38">
        <f>IF(AQ134="1",BH134,0)</f>
        <v>0</v>
      </c>
      <c r="AC134" s="38">
        <f>IF(AQ134="1",BI134,0)</f>
        <v>0</v>
      </c>
      <c r="AD134" s="38">
        <f>IF(AQ134="7",BH134,0)</f>
        <v>0</v>
      </c>
      <c r="AE134" s="38">
        <f>IF(AQ134="7",BI134,0)</f>
        <v>0</v>
      </c>
      <c r="AF134" s="38">
        <f>IF(AQ134="2",BH134,0)</f>
        <v>0</v>
      </c>
      <c r="AG134" s="38">
        <f>IF(AQ134="2",BI134,0)</f>
        <v>0</v>
      </c>
      <c r="AH134" s="38">
        <f>IF(AQ134="0",BJ134,0)</f>
        <v>0</v>
      </c>
      <c r="AI134" s="30" t="s">
        <v>135</v>
      </c>
      <c r="AJ134" s="23">
        <f>IF(AN134=0,J134,0)</f>
        <v>0</v>
      </c>
      <c r="AK134" s="23">
        <f>IF(AN134=15,J134,0)</f>
        <v>0</v>
      </c>
      <c r="AL134" s="23">
        <f>IF(AN134=21,J134,0)</f>
        <v>0</v>
      </c>
      <c r="AN134" s="38">
        <v>15</v>
      </c>
      <c r="AO134" s="38">
        <f>G134*1</f>
        <v>0</v>
      </c>
      <c r="AP134" s="38">
        <f>G134*(1-1)</f>
        <v>0</v>
      </c>
      <c r="AQ134" s="35" t="s">
        <v>7</v>
      </c>
      <c r="AV134" s="38">
        <f>AW134+AX134</f>
        <v>0</v>
      </c>
      <c r="AW134" s="38">
        <f>F134*AO134</f>
        <v>0</v>
      </c>
      <c r="AX134" s="38">
        <f>F134*AP134</f>
        <v>0</v>
      </c>
      <c r="AY134" s="39" t="s">
        <v>547</v>
      </c>
      <c r="AZ134" s="39" t="s">
        <v>572</v>
      </c>
      <c r="BA134" s="30" t="s">
        <v>588</v>
      </c>
      <c r="BC134" s="38">
        <f>AW134+AX134</f>
        <v>0</v>
      </c>
      <c r="BD134" s="38">
        <f>G134/(100-BE134)*100</f>
        <v>0</v>
      </c>
      <c r="BE134" s="38">
        <v>0</v>
      </c>
      <c r="BF134" s="38">
        <f>L134</f>
        <v>0.00558</v>
      </c>
      <c r="BH134" s="23">
        <f>F134*AO134</f>
        <v>0</v>
      </c>
      <c r="BI134" s="23">
        <f>F134*AP134</f>
        <v>0</v>
      </c>
      <c r="BJ134" s="23">
        <f>F134*G134</f>
        <v>0</v>
      </c>
    </row>
    <row r="135" spans="3:13" ht="12.75">
      <c r="C135" s="17" t="s">
        <v>175</v>
      </c>
      <c r="D135" s="87" t="s">
        <v>384</v>
      </c>
      <c r="E135" s="88"/>
      <c r="F135" s="88"/>
      <c r="G135" s="88"/>
      <c r="H135" s="88"/>
      <c r="I135" s="88"/>
      <c r="J135" s="88"/>
      <c r="K135" s="88"/>
      <c r="L135" s="88"/>
      <c r="M135" s="88"/>
    </row>
    <row r="136" spans="1:62" ht="12.75">
      <c r="A136" s="7" t="s">
        <v>69</v>
      </c>
      <c r="B136" s="7" t="s">
        <v>135</v>
      </c>
      <c r="C136" s="7" t="s">
        <v>202</v>
      </c>
      <c r="D136" s="125" t="s">
        <v>385</v>
      </c>
      <c r="E136" s="7" t="s">
        <v>510</v>
      </c>
      <c r="F136" s="23">
        <v>5.4</v>
      </c>
      <c r="G136" s="23">
        <v>0</v>
      </c>
      <c r="H136" s="23">
        <f>F136*AO136</f>
        <v>0</v>
      </c>
      <c r="I136" s="23">
        <f>F136*AP136</f>
        <v>0</v>
      </c>
      <c r="J136" s="23">
        <f>F136*G136</f>
        <v>0</v>
      </c>
      <c r="K136" s="23">
        <v>2E-05</v>
      </c>
      <c r="L136" s="23">
        <f>F136*K136</f>
        <v>0.00010800000000000001</v>
      </c>
      <c r="M136" s="35" t="s">
        <v>531</v>
      </c>
      <c r="Z136" s="38">
        <f>IF(AQ136="5",BJ136,0)</f>
        <v>0</v>
      </c>
      <c r="AB136" s="38">
        <f>IF(AQ136="1",BH136,0)</f>
        <v>0</v>
      </c>
      <c r="AC136" s="38">
        <f>IF(AQ136="1",BI136,0)</f>
        <v>0</v>
      </c>
      <c r="AD136" s="38">
        <f>IF(AQ136="7",BH136,0)</f>
        <v>0</v>
      </c>
      <c r="AE136" s="38">
        <f>IF(AQ136="7",BI136,0)</f>
        <v>0</v>
      </c>
      <c r="AF136" s="38">
        <f>IF(AQ136="2",BH136,0)</f>
        <v>0</v>
      </c>
      <c r="AG136" s="38">
        <f>IF(AQ136="2",BI136,0)</f>
        <v>0</v>
      </c>
      <c r="AH136" s="38">
        <f>IF(AQ136="0",BJ136,0)</f>
        <v>0</v>
      </c>
      <c r="AI136" s="30" t="s">
        <v>135</v>
      </c>
      <c r="AJ136" s="23">
        <f>IF(AN136=0,J136,0)</f>
        <v>0</v>
      </c>
      <c r="AK136" s="23">
        <f>IF(AN136=15,J136,0)</f>
        <v>0</v>
      </c>
      <c r="AL136" s="23">
        <f>IF(AN136=21,J136,0)</f>
        <v>0</v>
      </c>
      <c r="AN136" s="38">
        <v>15</v>
      </c>
      <c r="AO136" s="38">
        <f>G136*1</f>
        <v>0</v>
      </c>
      <c r="AP136" s="38">
        <f>G136*(1-1)</f>
        <v>0</v>
      </c>
      <c r="AQ136" s="35" t="s">
        <v>7</v>
      </c>
      <c r="AV136" s="38">
        <f>AW136+AX136</f>
        <v>0</v>
      </c>
      <c r="AW136" s="38">
        <f>F136*AO136</f>
        <v>0</v>
      </c>
      <c r="AX136" s="38">
        <f>F136*AP136</f>
        <v>0</v>
      </c>
      <c r="AY136" s="39" t="s">
        <v>547</v>
      </c>
      <c r="AZ136" s="39" t="s">
        <v>572</v>
      </c>
      <c r="BA136" s="30" t="s">
        <v>588</v>
      </c>
      <c r="BC136" s="38">
        <f>AW136+AX136</f>
        <v>0</v>
      </c>
      <c r="BD136" s="38">
        <f>G136/(100-BE136)*100</f>
        <v>0</v>
      </c>
      <c r="BE136" s="38">
        <v>0</v>
      </c>
      <c r="BF136" s="38">
        <f>L136</f>
        <v>0.00010800000000000001</v>
      </c>
      <c r="BH136" s="23">
        <f>F136*AO136</f>
        <v>0</v>
      </c>
      <c r="BI136" s="23">
        <f>F136*AP136</f>
        <v>0</v>
      </c>
      <c r="BJ136" s="23">
        <f>F136*G136</f>
        <v>0</v>
      </c>
    </row>
    <row r="137" spans="4:6" ht="12.75">
      <c r="D137" s="123" t="s">
        <v>386</v>
      </c>
      <c r="F137" s="22">
        <v>5.4</v>
      </c>
    </row>
    <row r="138" spans="3:13" ht="12.75">
      <c r="C138" s="17" t="s">
        <v>175</v>
      </c>
      <c r="D138" s="87" t="s">
        <v>387</v>
      </c>
      <c r="E138" s="88"/>
      <c r="F138" s="88"/>
      <c r="G138" s="88"/>
      <c r="H138" s="88"/>
      <c r="I138" s="88"/>
      <c r="J138" s="88"/>
      <c r="K138" s="88"/>
      <c r="L138" s="88"/>
      <c r="M138" s="88"/>
    </row>
    <row r="139" spans="1:62" ht="25.5">
      <c r="A139" s="5" t="s">
        <v>70</v>
      </c>
      <c r="B139" s="5" t="s">
        <v>135</v>
      </c>
      <c r="C139" s="5" t="s">
        <v>203</v>
      </c>
      <c r="D139" s="122" t="s">
        <v>388</v>
      </c>
      <c r="E139" s="5" t="s">
        <v>505</v>
      </c>
      <c r="F139" s="21">
        <v>115</v>
      </c>
      <c r="G139" s="21">
        <v>0</v>
      </c>
      <c r="H139" s="21">
        <f>F139*AO139</f>
        <v>0</v>
      </c>
      <c r="I139" s="21">
        <f>F139*AP139</f>
        <v>0</v>
      </c>
      <c r="J139" s="21">
        <f>F139*G139</f>
        <v>0</v>
      </c>
      <c r="K139" s="21">
        <v>0</v>
      </c>
      <c r="L139" s="21">
        <f>F139*K139</f>
        <v>0</v>
      </c>
      <c r="M139" s="34" t="s">
        <v>531</v>
      </c>
      <c r="Z139" s="38">
        <f>IF(AQ139="5",BJ139,0)</f>
        <v>0</v>
      </c>
      <c r="AB139" s="38">
        <f>IF(AQ139="1",BH139,0)</f>
        <v>0</v>
      </c>
      <c r="AC139" s="38">
        <f>IF(AQ139="1",BI139,0)</f>
        <v>0</v>
      </c>
      <c r="AD139" s="38">
        <f>IF(AQ139="7",BH139,0)</f>
        <v>0</v>
      </c>
      <c r="AE139" s="38">
        <f>IF(AQ139="7",BI139,0)</f>
        <v>0</v>
      </c>
      <c r="AF139" s="38">
        <f>IF(AQ139="2",BH139,0)</f>
        <v>0</v>
      </c>
      <c r="AG139" s="38">
        <f>IF(AQ139="2",BI139,0)</f>
        <v>0</v>
      </c>
      <c r="AH139" s="38">
        <f>IF(AQ139="0",BJ139,0)</f>
        <v>0</v>
      </c>
      <c r="AI139" s="30" t="s">
        <v>135</v>
      </c>
      <c r="AJ139" s="21">
        <f>IF(AN139=0,J139,0)</f>
        <v>0</v>
      </c>
      <c r="AK139" s="21">
        <f>IF(AN139=15,J139,0)</f>
        <v>0</v>
      </c>
      <c r="AL139" s="21">
        <f>IF(AN139=21,J139,0)</f>
        <v>0</v>
      </c>
      <c r="AN139" s="38">
        <v>15</v>
      </c>
      <c r="AO139" s="38">
        <f>G139*0</f>
        <v>0</v>
      </c>
      <c r="AP139" s="38">
        <f>G139*(1-0)</f>
        <v>0</v>
      </c>
      <c r="AQ139" s="34" t="s">
        <v>7</v>
      </c>
      <c r="AV139" s="38">
        <f>AW139+AX139</f>
        <v>0</v>
      </c>
      <c r="AW139" s="38">
        <f>F139*AO139</f>
        <v>0</v>
      </c>
      <c r="AX139" s="38">
        <f>F139*AP139</f>
        <v>0</v>
      </c>
      <c r="AY139" s="39" t="s">
        <v>547</v>
      </c>
      <c r="AZ139" s="39" t="s">
        <v>572</v>
      </c>
      <c r="BA139" s="30" t="s">
        <v>588</v>
      </c>
      <c r="BC139" s="38">
        <f>AW139+AX139</f>
        <v>0</v>
      </c>
      <c r="BD139" s="38">
        <f>G139/(100-BE139)*100</f>
        <v>0</v>
      </c>
      <c r="BE139" s="38">
        <v>0</v>
      </c>
      <c r="BF139" s="38">
        <f>L139</f>
        <v>0</v>
      </c>
      <c r="BH139" s="21">
        <f>F139*AO139</f>
        <v>0</v>
      </c>
      <c r="BI139" s="21">
        <f>F139*AP139</f>
        <v>0</v>
      </c>
      <c r="BJ139" s="21">
        <f>F139*G139</f>
        <v>0</v>
      </c>
    </row>
    <row r="140" spans="1:62" ht="12.75">
      <c r="A140" s="7" t="s">
        <v>71</v>
      </c>
      <c r="B140" s="7" t="s">
        <v>135</v>
      </c>
      <c r="C140" s="7" t="s">
        <v>204</v>
      </c>
      <c r="D140" s="125" t="s">
        <v>389</v>
      </c>
      <c r="E140" s="7" t="s">
        <v>507</v>
      </c>
      <c r="F140" s="23">
        <v>11.56946</v>
      </c>
      <c r="G140" s="23">
        <v>0</v>
      </c>
      <c r="H140" s="23">
        <f>F140*AO140</f>
        <v>0</v>
      </c>
      <c r="I140" s="23">
        <f>F140*AP140</f>
        <v>0</v>
      </c>
      <c r="J140" s="23">
        <f>F140*G140</f>
        <v>0</v>
      </c>
      <c r="K140" s="23">
        <v>0.6</v>
      </c>
      <c r="L140" s="23">
        <f>F140*K140</f>
        <v>6.941675999999999</v>
      </c>
      <c r="M140" s="35" t="s">
        <v>531</v>
      </c>
      <c r="Z140" s="38">
        <f>IF(AQ140="5",BJ140,0)</f>
        <v>0</v>
      </c>
      <c r="AB140" s="38">
        <f>IF(AQ140="1",BH140,0)</f>
        <v>0</v>
      </c>
      <c r="AC140" s="38">
        <f>IF(AQ140="1",BI140,0)</f>
        <v>0</v>
      </c>
      <c r="AD140" s="38">
        <f>IF(AQ140="7",BH140,0)</f>
        <v>0</v>
      </c>
      <c r="AE140" s="38">
        <f>IF(AQ140="7",BI140,0)</f>
        <v>0</v>
      </c>
      <c r="AF140" s="38">
        <f>IF(AQ140="2",BH140,0)</f>
        <v>0</v>
      </c>
      <c r="AG140" s="38">
        <f>IF(AQ140="2",BI140,0)</f>
        <v>0</v>
      </c>
      <c r="AH140" s="38">
        <f>IF(AQ140="0",BJ140,0)</f>
        <v>0</v>
      </c>
      <c r="AI140" s="30" t="s">
        <v>135</v>
      </c>
      <c r="AJ140" s="23">
        <f>IF(AN140=0,J140,0)</f>
        <v>0</v>
      </c>
      <c r="AK140" s="23">
        <f>IF(AN140=15,J140,0)</f>
        <v>0</v>
      </c>
      <c r="AL140" s="23">
        <f>IF(AN140=21,J140,0)</f>
        <v>0</v>
      </c>
      <c r="AN140" s="38">
        <v>15</v>
      </c>
      <c r="AO140" s="38">
        <f>G140*1</f>
        <v>0</v>
      </c>
      <c r="AP140" s="38">
        <f>G140*(1-1)</f>
        <v>0</v>
      </c>
      <c r="AQ140" s="35" t="s">
        <v>7</v>
      </c>
      <c r="AV140" s="38">
        <f>AW140+AX140</f>
        <v>0</v>
      </c>
      <c r="AW140" s="38">
        <f>F140*AO140</f>
        <v>0</v>
      </c>
      <c r="AX140" s="38">
        <f>F140*AP140</f>
        <v>0</v>
      </c>
      <c r="AY140" s="39" t="s">
        <v>547</v>
      </c>
      <c r="AZ140" s="39" t="s">
        <v>572</v>
      </c>
      <c r="BA140" s="30" t="s">
        <v>588</v>
      </c>
      <c r="BC140" s="38">
        <f>AW140+AX140</f>
        <v>0</v>
      </c>
      <c r="BD140" s="38">
        <f>G140/(100-BE140)*100</f>
        <v>0</v>
      </c>
      <c r="BE140" s="38">
        <v>0</v>
      </c>
      <c r="BF140" s="38">
        <f>L140</f>
        <v>6.941675999999999</v>
      </c>
      <c r="BH140" s="23">
        <f>F140*AO140</f>
        <v>0</v>
      </c>
      <c r="BI140" s="23">
        <f>F140*AP140</f>
        <v>0</v>
      </c>
      <c r="BJ140" s="23">
        <f>F140*G140</f>
        <v>0</v>
      </c>
    </row>
    <row r="141" spans="4:6" ht="12.75">
      <c r="D141" s="123" t="s">
        <v>390</v>
      </c>
      <c r="F141" s="22">
        <v>11.5</v>
      </c>
    </row>
    <row r="142" spans="1:62" ht="12.75">
      <c r="A142" s="5" t="s">
        <v>72</v>
      </c>
      <c r="B142" s="5" t="s">
        <v>135</v>
      </c>
      <c r="C142" s="5" t="s">
        <v>205</v>
      </c>
      <c r="D142" s="122" t="s">
        <v>391</v>
      </c>
      <c r="E142" s="5" t="s">
        <v>511</v>
      </c>
      <c r="F142" s="21">
        <v>14</v>
      </c>
      <c r="G142" s="21">
        <v>0</v>
      </c>
      <c r="H142" s="21">
        <f>F142*AO142</f>
        <v>0</v>
      </c>
      <c r="I142" s="21">
        <f>F142*AP142</f>
        <v>0</v>
      </c>
      <c r="J142" s="21">
        <f>F142*G142</f>
        <v>0</v>
      </c>
      <c r="K142" s="21">
        <v>0</v>
      </c>
      <c r="L142" s="21">
        <f>F142*K142</f>
        <v>0</v>
      </c>
      <c r="M142" s="34" t="s">
        <v>531</v>
      </c>
      <c r="Z142" s="38">
        <f>IF(AQ142="5",BJ142,0)</f>
        <v>0</v>
      </c>
      <c r="AB142" s="38">
        <f>IF(AQ142="1",BH142,0)</f>
        <v>0</v>
      </c>
      <c r="AC142" s="38">
        <f>IF(AQ142="1",BI142,0)</f>
        <v>0</v>
      </c>
      <c r="AD142" s="38">
        <f>IF(AQ142="7",BH142,0)</f>
        <v>0</v>
      </c>
      <c r="AE142" s="38">
        <f>IF(AQ142="7",BI142,0)</f>
        <v>0</v>
      </c>
      <c r="AF142" s="38">
        <f>IF(AQ142="2",BH142,0)</f>
        <v>0</v>
      </c>
      <c r="AG142" s="38">
        <f>IF(AQ142="2",BI142,0)</f>
        <v>0</v>
      </c>
      <c r="AH142" s="38">
        <f>IF(AQ142="0",BJ142,0)</f>
        <v>0</v>
      </c>
      <c r="AI142" s="30" t="s">
        <v>135</v>
      </c>
      <c r="AJ142" s="21">
        <f>IF(AN142=0,J142,0)</f>
        <v>0</v>
      </c>
      <c r="AK142" s="21">
        <f>IF(AN142=15,J142,0)</f>
        <v>0</v>
      </c>
      <c r="AL142" s="21">
        <f>IF(AN142=21,J142,0)</f>
        <v>0</v>
      </c>
      <c r="AN142" s="38">
        <v>15</v>
      </c>
      <c r="AO142" s="38">
        <f>G142*0</f>
        <v>0</v>
      </c>
      <c r="AP142" s="38">
        <f>G142*(1-0)</f>
        <v>0</v>
      </c>
      <c r="AQ142" s="34" t="s">
        <v>7</v>
      </c>
      <c r="AV142" s="38">
        <f>AW142+AX142</f>
        <v>0</v>
      </c>
      <c r="AW142" s="38">
        <f>F142*AO142</f>
        <v>0</v>
      </c>
      <c r="AX142" s="38">
        <f>F142*AP142</f>
        <v>0</v>
      </c>
      <c r="AY142" s="39" t="s">
        <v>547</v>
      </c>
      <c r="AZ142" s="39" t="s">
        <v>572</v>
      </c>
      <c r="BA142" s="30" t="s">
        <v>588</v>
      </c>
      <c r="BC142" s="38">
        <f>AW142+AX142</f>
        <v>0</v>
      </c>
      <c r="BD142" s="38">
        <f>G142/(100-BE142)*100</f>
        <v>0</v>
      </c>
      <c r="BE142" s="38">
        <v>0</v>
      </c>
      <c r="BF142" s="38">
        <f>L142</f>
        <v>0</v>
      </c>
      <c r="BH142" s="21">
        <f>F142*AO142</f>
        <v>0</v>
      </c>
      <c r="BI142" s="21">
        <f>F142*AP142</f>
        <v>0</v>
      </c>
      <c r="BJ142" s="21">
        <f>F142*G142</f>
        <v>0</v>
      </c>
    </row>
    <row r="143" spans="1:62" ht="25.5">
      <c r="A143" s="5" t="s">
        <v>73</v>
      </c>
      <c r="B143" s="5" t="s">
        <v>135</v>
      </c>
      <c r="C143" s="5" t="s">
        <v>188</v>
      </c>
      <c r="D143" s="122" t="s">
        <v>365</v>
      </c>
      <c r="E143" s="5" t="s">
        <v>506</v>
      </c>
      <c r="F143" s="21">
        <v>18</v>
      </c>
      <c r="G143" s="21">
        <v>0</v>
      </c>
      <c r="H143" s="21">
        <f>F143*AO143</f>
        <v>0</v>
      </c>
      <c r="I143" s="21">
        <f>F143*AP143</f>
        <v>0</v>
      </c>
      <c r="J143" s="21">
        <f>F143*G143</f>
        <v>0</v>
      </c>
      <c r="K143" s="21">
        <v>0</v>
      </c>
      <c r="L143" s="21">
        <f>F143*K143</f>
        <v>0</v>
      </c>
      <c r="M143" s="34" t="s">
        <v>531</v>
      </c>
      <c r="Z143" s="38">
        <f>IF(AQ143="5",BJ143,0)</f>
        <v>0</v>
      </c>
      <c r="AB143" s="38">
        <f>IF(AQ143="1",BH143,0)</f>
        <v>0</v>
      </c>
      <c r="AC143" s="38">
        <f>IF(AQ143="1",BI143,0)</f>
        <v>0</v>
      </c>
      <c r="AD143" s="38">
        <f>IF(AQ143="7",BH143,0)</f>
        <v>0</v>
      </c>
      <c r="AE143" s="38">
        <f>IF(AQ143="7",BI143,0)</f>
        <v>0</v>
      </c>
      <c r="AF143" s="38">
        <f>IF(AQ143="2",BH143,0)</f>
        <v>0</v>
      </c>
      <c r="AG143" s="38">
        <f>IF(AQ143="2",BI143,0)</f>
        <v>0</v>
      </c>
      <c r="AH143" s="38">
        <f>IF(AQ143="0",BJ143,0)</f>
        <v>0</v>
      </c>
      <c r="AI143" s="30" t="s">
        <v>135</v>
      </c>
      <c r="AJ143" s="21">
        <f>IF(AN143=0,J143,0)</f>
        <v>0</v>
      </c>
      <c r="AK143" s="21">
        <f>IF(AN143=15,J143,0)</f>
        <v>0</v>
      </c>
      <c r="AL143" s="21">
        <f>IF(AN143=21,J143,0)</f>
        <v>0</v>
      </c>
      <c r="AN143" s="38">
        <v>15</v>
      </c>
      <c r="AO143" s="38">
        <f>G143*0</f>
        <v>0</v>
      </c>
      <c r="AP143" s="38">
        <f>G143*(1-0)</f>
        <v>0</v>
      </c>
      <c r="AQ143" s="34" t="s">
        <v>7</v>
      </c>
      <c r="AV143" s="38">
        <f>AW143+AX143</f>
        <v>0</v>
      </c>
      <c r="AW143" s="38">
        <f>F143*AO143</f>
        <v>0</v>
      </c>
      <c r="AX143" s="38">
        <f>F143*AP143</f>
        <v>0</v>
      </c>
      <c r="AY143" s="39" t="s">
        <v>547</v>
      </c>
      <c r="AZ143" s="39" t="s">
        <v>572</v>
      </c>
      <c r="BA143" s="30" t="s">
        <v>588</v>
      </c>
      <c r="BC143" s="38">
        <f>AW143+AX143</f>
        <v>0</v>
      </c>
      <c r="BD143" s="38">
        <f>G143/(100-BE143)*100</f>
        <v>0</v>
      </c>
      <c r="BE143" s="38">
        <v>0</v>
      </c>
      <c r="BF143" s="38">
        <f>L143</f>
        <v>0</v>
      </c>
      <c r="BH143" s="21">
        <f>F143*AO143</f>
        <v>0</v>
      </c>
      <c r="BI143" s="21">
        <f>F143*AP143</f>
        <v>0</v>
      </c>
      <c r="BJ143" s="21">
        <f>F143*G143</f>
        <v>0</v>
      </c>
    </row>
    <row r="144" spans="1:62" ht="38.25">
      <c r="A144" s="5" t="s">
        <v>74</v>
      </c>
      <c r="B144" s="5" t="s">
        <v>135</v>
      </c>
      <c r="C144" s="5" t="s">
        <v>206</v>
      </c>
      <c r="D144" s="122" t="s">
        <v>392</v>
      </c>
      <c r="E144" s="5" t="s">
        <v>505</v>
      </c>
      <c r="F144" s="21">
        <v>256</v>
      </c>
      <c r="G144" s="21">
        <v>0</v>
      </c>
      <c r="H144" s="21">
        <f>F144*AO144</f>
        <v>0</v>
      </c>
      <c r="I144" s="21">
        <f>F144*AP144</f>
        <v>0</v>
      </c>
      <c r="J144" s="21">
        <f>F144*G144</f>
        <v>0</v>
      </c>
      <c r="K144" s="21">
        <v>0</v>
      </c>
      <c r="L144" s="21">
        <f>F144*K144</f>
        <v>0</v>
      </c>
      <c r="M144" s="34" t="s">
        <v>531</v>
      </c>
      <c r="Z144" s="38">
        <f>IF(AQ144="5",BJ144,0)</f>
        <v>0</v>
      </c>
      <c r="AB144" s="38">
        <f>IF(AQ144="1",BH144,0)</f>
        <v>0</v>
      </c>
      <c r="AC144" s="38">
        <f>IF(AQ144="1",BI144,0)</f>
        <v>0</v>
      </c>
      <c r="AD144" s="38">
        <f>IF(AQ144="7",BH144,0)</f>
        <v>0</v>
      </c>
      <c r="AE144" s="38">
        <f>IF(AQ144="7",BI144,0)</f>
        <v>0</v>
      </c>
      <c r="AF144" s="38">
        <f>IF(AQ144="2",BH144,0)</f>
        <v>0</v>
      </c>
      <c r="AG144" s="38">
        <f>IF(AQ144="2",BI144,0)</f>
        <v>0</v>
      </c>
      <c r="AH144" s="38">
        <f>IF(AQ144="0",BJ144,0)</f>
        <v>0</v>
      </c>
      <c r="AI144" s="30" t="s">
        <v>135</v>
      </c>
      <c r="AJ144" s="21">
        <f>IF(AN144=0,J144,0)</f>
        <v>0</v>
      </c>
      <c r="AK144" s="21">
        <f>IF(AN144=15,J144,0)</f>
        <v>0</v>
      </c>
      <c r="AL144" s="21">
        <f>IF(AN144=21,J144,0)</f>
        <v>0</v>
      </c>
      <c r="AN144" s="38">
        <v>15</v>
      </c>
      <c r="AO144" s="38">
        <f>G144*0</f>
        <v>0</v>
      </c>
      <c r="AP144" s="38">
        <f>G144*(1-0)</f>
        <v>0</v>
      </c>
      <c r="AQ144" s="34" t="s">
        <v>7</v>
      </c>
      <c r="AV144" s="38">
        <f>AW144+AX144</f>
        <v>0</v>
      </c>
      <c r="AW144" s="38">
        <f>F144*AO144</f>
        <v>0</v>
      </c>
      <c r="AX144" s="38">
        <f>F144*AP144</f>
        <v>0</v>
      </c>
      <c r="AY144" s="39" t="s">
        <v>547</v>
      </c>
      <c r="AZ144" s="39" t="s">
        <v>572</v>
      </c>
      <c r="BA144" s="30" t="s">
        <v>588</v>
      </c>
      <c r="BC144" s="38">
        <f>AW144+AX144</f>
        <v>0</v>
      </c>
      <c r="BD144" s="38">
        <f>G144/(100-BE144)*100</f>
        <v>0</v>
      </c>
      <c r="BE144" s="38">
        <v>0</v>
      </c>
      <c r="BF144" s="38">
        <f>L144</f>
        <v>0</v>
      </c>
      <c r="BH144" s="21">
        <f>F144*AO144</f>
        <v>0</v>
      </c>
      <c r="BI144" s="21">
        <f>F144*AP144</f>
        <v>0</v>
      </c>
      <c r="BJ144" s="21">
        <f>F144*G144</f>
        <v>0</v>
      </c>
    </row>
    <row r="145" spans="1:62" ht="12.75">
      <c r="A145" s="5" t="s">
        <v>75</v>
      </c>
      <c r="B145" s="5" t="s">
        <v>135</v>
      </c>
      <c r="C145" s="5" t="s">
        <v>195</v>
      </c>
      <c r="D145" s="122" t="s">
        <v>376</v>
      </c>
      <c r="E145" s="5" t="s">
        <v>505</v>
      </c>
      <c r="F145" s="21">
        <v>78</v>
      </c>
      <c r="G145" s="21">
        <v>0</v>
      </c>
      <c r="H145" s="21">
        <f>F145*AO145</f>
        <v>0</v>
      </c>
      <c r="I145" s="21">
        <f>F145*AP145</f>
        <v>0</v>
      </c>
      <c r="J145" s="21">
        <f>F145*G145</f>
        <v>0</v>
      </c>
      <c r="K145" s="21">
        <v>0</v>
      </c>
      <c r="L145" s="21">
        <f>F145*K145</f>
        <v>0</v>
      </c>
      <c r="M145" s="34" t="s">
        <v>531</v>
      </c>
      <c r="Z145" s="38">
        <f>IF(AQ145="5",BJ145,0)</f>
        <v>0</v>
      </c>
      <c r="AB145" s="38">
        <f>IF(AQ145="1",BH145,0)</f>
        <v>0</v>
      </c>
      <c r="AC145" s="38">
        <f>IF(AQ145="1",BI145,0)</f>
        <v>0</v>
      </c>
      <c r="AD145" s="38">
        <f>IF(AQ145="7",BH145,0)</f>
        <v>0</v>
      </c>
      <c r="AE145" s="38">
        <f>IF(AQ145="7",BI145,0)</f>
        <v>0</v>
      </c>
      <c r="AF145" s="38">
        <f>IF(AQ145="2",BH145,0)</f>
        <v>0</v>
      </c>
      <c r="AG145" s="38">
        <f>IF(AQ145="2",BI145,0)</f>
        <v>0</v>
      </c>
      <c r="AH145" s="38">
        <f>IF(AQ145="0",BJ145,0)</f>
        <v>0</v>
      </c>
      <c r="AI145" s="30" t="s">
        <v>135</v>
      </c>
      <c r="AJ145" s="21">
        <f>IF(AN145=0,J145,0)</f>
        <v>0</v>
      </c>
      <c r="AK145" s="21">
        <f>IF(AN145=15,J145,0)</f>
        <v>0</v>
      </c>
      <c r="AL145" s="21">
        <f>IF(AN145=21,J145,0)</f>
        <v>0</v>
      </c>
      <c r="AN145" s="38">
        <v>15</v>
      </c>
      <c r="AO145" s="38">
        <f>G145*0</f>
        <v>0</v>
      </c>
      <c r="AP145" s="38">
        <f>G145*(1-0)</f>
        <v>0</v>
      </c>
      <c r="AQ145" s="34" t="s">
        <v>7</v>
      </c>
      <c r="AV145" s="38">
        <f>AW145+AX145</f>
        <v>0</v>
      </c>
      <c r="AW145" s="38">
        <f>F145*AO145</f>
        <v>0</v>
      </c>
      <c r="AX145" s="38">
        <f>F145*AP145</f>
        <v>0</v>
      </c>
      <c r="AY145" s="39" t="s">
        <v>547</v>
      </c>
      <c r="AZ145" s="39" t="s">
        <v>572</v>
      </c>
      <c r="BA145" s="30" t="s">
        <v>588</v>
      </c>
      <c r="BC145" s="38">
        <f>AW145+AX145</f>
        <v>0</v>
      </c>
      <c r="BD145" s="38">
        <f>G145/(100-BE145)*100</f>
        <v>0</v>
      </c>
      <c r="BE145" s="38">
        <v>0</v>
      </c>
      <c r="BF145" s="38">
        <f>L145</f>
        <v>0</v>
      </c>
      <c r="BH145" s="21">
        <f>F145*AO145</f>
        <v>0</v>
      </c>
      <c r="BI145" s="21">
        <f>F145*AP145</f>
        <v>0</v>
      </c>
      <c r="BJ145" s="21">
        <f>F145*G145</f>
        <v>0</v>
      </c>
    </row>
    <row r="146" spans="4:6" ht="12.75">
      <c r="D146" s="123" t="s">
        <v>393</v>
      </c>
      <c r="F146" s="22">
        <v>75</v>
      </c>
    </row>
    <row r="147" spans="4:6" ht="12.75">
      <c r="D147" s="123" t="s">
        <v>394</v>
      </c>
      <c r="F147" s="22">
        <v>3</v>
      </c>
    </row>
    <row r="148" spans="1:62" ht="12.75">
      <c r="A148" s="7" t="s">
        <v>76</v>
      </c>
      <c r="B148" s="7" t="s">
        <v>135</v>
      </c>
      <c r="C148" s="7" t="s">
        <v>207</v>
      </c>
      <c r="D148" s="125" t="s">
        <v>395</v>
      </c>
      <c r="E148" s="7" t="s">
        <v>507</v>
      </c>
      <c r="F148" s="23">
        <v>6.24</v>
      </c>
      <c r="G148" s="23">
        <v>0</v>
      </c>
      <c r="H148" s="23">
        <f>F148*AO148</f>
        <v>0</v>
      </c>
      <c r="I148" s="23">
        <f>F148*AP148</f>
        <v>0</v>
      </c>
      <c r="J148" s="23">
        <f>F148*G148</f>
        <v>0</v>
      </c>
      <c r="K148" s="23">
        <v>0.6</v>
      </c>
      <c r="L148" s="23">
        <f>F148*K148</f>
        <v>3.7439999999999998</v>
      </c>
      <c r="M148" s="35" t="s">
        <v>531</v>
      </c>
      <c r="Z148" s="38">
        <f>IF(AQ148="5",BJ148,0)</f>
        <v>0</v>
      </c>
      <c r="AB148" s="38">
        <f>IF(AQ148="1",BH148,0)</f>
        <v>0</v>
      </c>
      <c r="AC148" s="38">
        <f>IF(AQ148="1",BI148,0)</f>
        <v>0</v>
      </c>
      <c r="AD148" s="38">
        <f>IF(AQ148="7",BH148,0)</f>
        <v>0</v>
      </c>
      <c r="AE148" s="38">
        <f>IF(AQ148="7",BI148,0)</f>
        <v>0</v>
      </c>
      <c r="AF148" s="38">
        <f>IF(AQ148="2",BH148,0)</f>
        <v>0</v>
      </c>
      <c r="AG148" s="38">
        <f>IF(AQ148="2",BI148,0)</f>
        <v>0</v>
      </c>
      <c r="AH148" s="38">
        <f>IF(AQ148="0",BJ148,0)</f>
        <v>0</v>
      </c>
      <c r="AI148" s="30" t="s">
        <v>135</v>
      </c>
      <c r="AJ148" s="23">
        <f>IF(AN148=0,J148,0)</f>
        <v>0</v>
      </c>
      <c r="AK148" s="23">
        <f>IF(AN148=15,J148,0)</f>
        <v>0</v>
      </c>
      <c r="AL148" s="23">
        <f>IF(AN148=21,J148,0)</f>
        <v>0</v>
      </c>
      <c r="AN148" s="38">
        <v>15</v>
      </c>
      <c r="AO148" s="38">
        <f>G148*1</f>
        <v>0</v>
      </c>
      <c r="AP148" s="38">
        <f>G148*(1-1)</f>
        <v>0</v>
      </c>
      <c r="AQ148" s="35" t="s">
        <v>7</v>
      </c>
      <c r="AV148" s="38">
        <f>AW148+AX148</f>
        <v>0</v>
      </c>
      <c r="AW148" s="38">
        <f>F148*AO148</f>
        <v>0</v>
      </c>
      <c r="AX148" s="38">
        <f>F148*AP148</f>
        <v>0</v>
      </c>
      <c r="AY148" s="39" t="s">
        <v>547</v>
      </c>
      <c r="AZ148" s="39" t="s">
        <v>572</v>
      </c>
      <c r="BA148" s="30" t="s">
        <v>588</v>
      </c>
      <c r="BC148" s="38">
        <f>AW148+AX148</f>
        <v>0</v>
      </c>
      <c r="BD148" s="38">
        <f>G148/(100-BE148)*100</f>
        <v>0</v>
      </c>
      <c r="BE148" s="38">
        <v>0</v>
      </c>
      <c r="BF148" s="38">
        <f>L148</f>
        <v>3.7439999999999998</v>
      </c>
      <c r="BH148" s="23">
        <f>F148*AO148</f>
        <v>0</v>
      </c>
      <c r="BI148" s="23">
        <f>F148*AP148</f>
        <v>0</v>
      </c>
      <c r="BJ148" s="23">
        <f>F148*G148</f>
        <v>0</v>
      </c>
    </row>
    <row r="149" spans="4:6" ht="12.75">
      <c r="D149" s="123" t="s">
        <v>396</v>
      </c>
      <c r="F149" s="22">
        <v>6.24</v>
      </c>
    </row>
    <row r="150" spans="1:62" ht="25.5">
      <c r="A150" s="5" t="s">
        <v>77</v>
      </c>
      <c r="B150" s="5" t="s">
        <v>135</v>
      </c>
      <c r="C150" s="5" t="s">
        <v>208</v>
      </c>
      <c r="D150" s="122" t="s">
        <v>397</v>
      </c>
      <c r="E150" s="5" t="s">
        <v>509</v>
      </c>
      <c r="F150" s="21">
        <v>15.09665</v>
      </c>
      <c r="G150" s="21">
        <v>0</v>
      </c>
      <c r="H150" s="21">
        <f>F150*AO150</f>
        <v>0</v>
      </c>
      <c r="I150" s="21">
        <f>F150*AP150</f>
        <v>0</v>
      </c>
      <c r="J150" s="21">
        <f>F150*G150</f>
        <v>0</v>
      </c>
      <c r="K150" s="21">
        <v>0</v>
      </c>
      <c r="L150" s="21">
        <f>F150*K150</f>
        <v>0</v>
      </c>
      <c r="M150" s="34" t="s">
        <v>531</v>
      </c>
      <c r="Z150" s="38">
        <f>IF(AQ150="5",BJ150,0)</f>
        <v>0</v>
      </c>
      <c r="AB150" s="38">
        <f>IF(AQ150="1",BH150,0)</f>
        <v>0</v>
      </c>
      <c r="AC150" s="38">
        <f>IF(AQ150="1",BI150,0)</f>
        <v>0</v>
      </c>
      <c r="AD150" s="38">
        <f>IF(AQ150="7",BH150,0)</f>
        <v>0</v>
      </c>
      <c r="AE150" s="38">
        <f>IF(AQ150="7",BI150,0)</f>
        <v>0</v>
      </c>
      <c r="AF150" s="38">
        <f>IF(AQ150="2",BH150,0)</f>
        <v>0</v>
      </c>
      <c r="AG150" s="38">
        <f>IF(AQ150="2",BI150,0)</f>
        <v>0</v>
      </c>
      <c r="AH150" s="38">
        <f>IF(AQ150="0",BJ150,0)</f>
        <v>0</v>
      </c>
      <c r="AI150" s="30" t="s">
        <v>135</v>
      </c>
      <c r="AJ150" s="21">
        <f>IF(AN150=0,J150,0)</f>
        <v>0</v>
      </c>
      <c r="AK150" s="21">
        <f>IF(AN150=15,J150,0)</f>
        <v>0</v>
      </c>
      <c r="AL150" s="21">
        <f>IF(AN150=21,J150,0)</f>
        <v>0</v>
      </c>
      <c r="AN150" s="38">
        <v>15</v>
      </c>
      <c r="AO150" s="38">
        <f>G150*0</f>
        <v>0</v>
      </c>
      <c r="AP150" s="38">
        <f>G150*(1-0)</f>
        <v>0</v>
      </c>
      <c r="AQ150" s="34" t="s">
        <v>11</v>
      </c>
      <c r="AV150" s="38">
        <f>AW150+AX150</f>
        <v>0</v>
      </c>
      <c r="AW150" s="38">
        <f>F150*AO150</f>
        <v>0</v>
      </c>
      <c r="AX150" s="38">
        <f>F150*AP150</f>
        <v>0</v>
      </c>
      <c r="AY150" s="39" t="s">
        <v>547</v>
      </c>
      <c r="AZ150" s="39" t="s">
        <v>572</v>
      </c>
      <c r="BA150" s="30" t="s">
        <v>588</v>
      </c>
      <c r="BC150" s="38">
        <f>AW150+AX150</f>
        <v>0</v>
      </c>
      <c r="BD150" s="38">
        <f>G150/(100-BE150)*100</f>
        <v>0</v>
      </c>
      <c r="BE150" s="38">
        <v>0</v>
      </c>
      <c r="BF150" s="38">
        <f>L150</f>
        <v>0</v>
      </c>
      <c r="BH150" s="21">
        <f>F150*AO150</f>
        <v>0</v>
      </c>
      <c r="BI150" s="21">
        <f>F150*AP150</f>
        <v>0</v>
      </c>
      <c r="BJ150" s="21">
        <f>F150*G150</f>
        <v>0</v>
      </c>
    </row>
    <row r="151" spans="1:13" ht="12.75">
      <c r="A151" s="6"/>
      <c r="B151" s="15" t="s">
        <v>136</v>
      </c>
      <c r="C151" s="15"/>
      <c r="D151" s="124" t="s">
        <v>398</v>
      </c>
      <c r="E151" s="6" t="s">
        <v>6</v>
      </c>
      <c r="F151" s="6" t="s">
        <v>6</v>
      </c>
      <c r="G151" s="6" t="s">
        <v>6</v>
      </c>
      <c r="H151" s="42">
        <f>H152+H157+H164+H171+H174+H178+H186+H204+H214+H228+H232+H244+H250</f>
        <v>0</v>
      </c>
      <c r="I151" s="42">
        <f>I152+I157+I164+I171+I174+I178+I186+I204+I214+I228+I232+I244+I250</f>
        <v>0</v>
      </c>
      <c r="J151" s="42">
        <f>J152+J157+J164+J171+J174+J178+J186+J204+J214+J228+J232+J244+J250</f>
        <v>0</v>
      </c>
      <c r="K151" s="31"/>
      <c r="L151" s="42">
        <f>L152+L157+L164+L171+L174+L178+L186+L204+L214+L228+L232+L244+L250</f>
        <v>23.413641575</v>
      </c>
      <c r="M151" s="31"/>
    </row>
    <row r="152" spans="1:47" ht="12.75">
      <c r="A152" s="4"/>
      <c r="B152" s="14" t="s">
        <v>136</v>
      </c>
      <c r="C152" s="14" t="s">
        <v>23</v>
      </c>
      <c r="D152" s="121" t="s">
        <v>399</v>
      </c>
      <c r="E152" s="4" t="s">
        <v>6</v>
      </c>
      <c r="F152" s="4" t="s">
        <v>6</v>
      </c>
      <c r="G152" s="4" t="s">
        <v>6</v>
      </c>
      <c r="H152" s="41">
        <f>SUM(H153:H156)</f>
        <v>0</v>
      </c>
      <c r="I152" s="41">
        <f>SUM(I153:I156)</f>
        <v>0</v>
      </c>
      <c r="J152" s="41">
        <f>SUM(J153:J156)</f>
        <v>0</v>
      </c>
      <c r="K152" s="30"/>
      <c r="L152" s="41">
        <f>SUM(L153:L156)</f>
        <v>3.76073</v>
      </c>
      <c r="M152" s="30"/>
      <c r="AI152" s="30" t="s">
        <v>136</v>
      </c>
      <c r="AS152" s="41">
        <f>SUM(AJ153:AJ156)</f>
        <v>0</v>
      </c>
      <c r="AT152" s="41">
        <f>SUM(AK153:AK156)</f>
        <v>0</v>
      </c>
      <c r="AU152" s="41">
        <f>SUM(AL153:AL156)</f>
        <v>0</v>
      </c>
    </row>
    <row r="153" spans="1:62" ht="12.75">
      <c r="A153" s="5" t="s">
        <v>78</v>
      </c>
      <c r="B153" s="5" t="s">
        <v>136</v>
      </c>
      <c r="C153" s="5" t="s">
        <v>209</v>
      </c>
      <c r="D153" s="122" t="s">
        <v>400</v>
      </c>
      <c r="E153" s="5" t="s">
        <v>507</v>
      </c>
      <c r="F153" s="21">
        <v>2.7</v>
      </c>
      <c r="G153" s="21">
        <v>0</v>
      </c>
      <c r="H153" s="21">
        <f>F153*AO153</f>
        <v>0</v>
      </c>
      <c r="I153" s="21">
        <f>F153*AP153</f>
        <v>0</v>
      </c>
      <c r="J153" s="21">
        <f>F153*G153</f>
        <v>0</v>
      </c>
      <c r="K153" s="21">
        <v>0</v>
      </c>
      <c r="L153" s="21">
        <f>F153*K153</f>
        <v>0</v>
      </c>
      <c r="M153" s="34" t="s">
        <v>531</v>
      </c>
      <c r="Z153" s="38">
        <f>IF(AQ153="5",BJ153,0)</f>
        <v>0</v>
      </c>
      <c r="AB153" s="38">
        <f>IF(AQ153="1",BH153,0)</f>
        <v>0</v>
      </c>
      <c r="AC153" s="38">
        <f>IF(AQ153="1",BI153,0)</f>
        <v>0</v>
      </c>
      <c r="AD153" s="38">
        <f>IF(AQ153="7",BH153,0)</f>
        <v>0</v>
      </c>
      <c r="AE153" s="38">
        <f>IF(AQ153="7",BI153,0)</f>
        <v>0</v>
      </c>
      <c r="AF153" s="38">
        <f>IF(AQ153="2",BH153,0)</f>
        <v>0</v>
      </c>
      <c r="AG153" s="38">
        <f>IF(AQ153="2",BI153,0)</f>
        <v>0</v>
      </c>
      <c r="AH153" s="38">
        <f>IF(AQ153="0",BJ153,0)</f>
        <v>0</v>
      </c>
      <c r="AI153" s="30" t="s">
        <v>136</v>
      </c>
      <c r="AJ153" s="21">
        <f>IF(AN153=0,J153,0)</f>
        <v>0</v>
      </c>
      <c r="AK153" s="21">
        <f>IF(AN153=15,J153,0)</f>
        <v>0</v>
      </c>
      <c r="AL153" s="21">
        <f>IF(AN153=21,J153,0)</f>
        <v>0</v>
      </c>
      <c r="AN153" s="38">
        <v>15</v>
      </c>
      <c r="AO153" s="38">
        <f>G153*0</f>
        <v>0</v>
      </c>
      <c r="AP153" s="38">
        <f>G153*(1-0)</f>
        <v>0</v>
      </c>
      <c r="AQ153" s="34" t="s">
        <v>7</v>
      </c>
      <c r="AV153" s="38">
        <f>AW153+AX153</f>
        <v>0</v>
      </c>
      <c r="AW153" s="38">
        <f>F153*AO153</f>
        <v>0</v>
      </c>
      <c r="AX153" s="38">
        <f>F153*AP153</f>
        <v>0</v>
      </c>
      <c r="AY153" s="39" t="s">
        <v>551</v>
      </c>
      <c r="AZ153" s="39" t="s">
        <v>573</v>
      </c>
      <c r="BA153" s="30" t="s">
        <v>589</v>
      </c>
      <c r="BC153" s="38">
        <f>AW153+AX153</f>
        <v>0</v>
      </c>
      <c r="BD153" s="38">
        <f>G153/(100-BE153)*100</f>
        <v>0</v>
      </c>
      <c r="BE153" s="38">
        <v>0</v>
      </c>
      <c r="BF153" s="38">
        <f>L153</f>
        <v>0</v>
      </c>
      <c r="BH153" s="21">
        <f>F153*AO153</f>
        <v>0</v>
      </c>
      <c r="BI153" s="21">
        <f>F153*AP153</f>
        <v>0</v>
      </c>
      <c r="BJ153" s="21">
        <f>F153*G153</f>
        <v>0</v>
      </c>
    </row>
    <row r="154" ht="12.75">
      <c r="D154" s="18" t="s">
        <v>401</v>
      </c>
    </row>
    <row r="155" spans="4:6" ht="12.75">
      <c r="D155" s="123" t="s">
        <v>402</v>
      </c>
      <c r="F155" s="22">
        <v>2.7</v>
      </c>
    </row>
    <row r="156" spans="1:62" ht="12.75">
      <c r="A156" s="7" t="s">
        <v>79</v>
      </c>
      <c r="B156" s="7" t="s">
        <v>136</v>
      </c>
      <c r="C156" s="7" t="s">
        <v>210</v>
      </c>
      <c r="D156" s="125" t="s">
        <v>403</v>
      </c>
      <c r="E156" s="7" t="s">
        <v>509</v>
      </c>
      <c r="F156" s="23">
        <v>3.76073</v>
      </c>
      <c r="G156" s="23">
        <v>0</v>
      </c>
      <c r="H156" s="23">
        <f>F156*AO156</f>
        <v>0</v>
      </c>
      <c r="I156" s="23">
        <f>F156*AP156</f>
        <v>0</v>
      </c>
      <c r="J156" s="23">
        <f>F156*G156</f>
        <v>0</v>
      </c>
      <c r="K156" s="23">
        <v>1</v>
      </c>
      <c r="L156" s="23">
        <f>F156*K156</f>
        <v>3.76073</v>
      </c>
      <c r="M156" s="35" t="s">
        <v>531</v>
      </c>
      <c r="Z156" s="38">
        <f>IF(AQ156="5",BJ156,0)</f>
        <v>0</v>
      </c>
      <c r="AB156" s="38">
        <f>IF(AQ156="1",BH156,0)</f>
        <v>0</v>
      </c>
      <c r="AC156" s="38">
        <f>IF(AQ156="1",BI156,0)</f>
        <v>0</v>
      </c>
      <c r="AD156" s="38">
        <f>IF(AQ156="7",BH156,0)</f>
        <v>0</v>
      </c>
      <c r="AE156" s="38">
        <f>IF(AQ156="7",BI156,0)</f>
        <v>0</v>
      </c>
      <c r="AF156" s="38">
        <f>IF(AQ156="2",BH156,0)</f>
        <v>0</v>
      </c>
      <c r="AG156" s="38">
        <f>IF(AQ156="2",BI156,0)</f>
        <v>0</v>
      </c>
      <c r="AH156" s="38">
        <f>IF(AQ156="0",BJ156,0)</f>
        <v>0</v>
      </c>
      <c r="AI156" s="30" t="s">
        <v>136</v>
      </c>
      <c r="AJ156" s="23">
        <f>IF(AN156=0,J156,0)</f>
        <v>0</v>
      </c>
      <c r="AK156" s="23">
        <f>IF(AN156=15,J156,0)</f>
        <v>0</v>
      </c>
      <c r="AL156" s="23">
        <f>IF(AN156=21,J156,0)</f>
        <v>0</v>
      </c>
      <c r="AN156" s="38">
        <v>15</v>
      </c>
      <c r="AO156" s="38">
        <f>G156*1</f>
        <v>0</v>
      </c>
      <c r="AP156" s="38">
        <f>G156*(1-1)</f>
        <v>0</v>
      </c>
      <c r="AQ156" s="35" t="s">
        <v>7</v>
      </c>
      <c r="AV156" s="38">
        <f>AW156+AX156</f>
        <v>0</v>
      </c>
      <c r="AW156" s="38">
        <f>F156*AO156</f>
        <v>0</v>
      </c>
      <c r="AX156" s="38">
        <f>F156*AP156</f>
        <v>0</v>
      </c>
      <c r="AY156" s="39" t="s">
        <v>551</v>
      </c>
      <c r="AZ156" s="39" t="s">
        <v>573</v>
      </c>
      <c r="BA156" s="30" t="s">
        <v>589</v>
      </c>
      <c r="BC156" s="38">
        <f>AW156+AX156</f>
        <v>0</v>
      </c>
      <c r="BD156" s="38">
        <f>G156/(100-BE156)*100</f>
        <v>0</v>
      </c>
      <c r="BE156" s="38">
        <v>0</v>
      </c>
      <c r="BF156" s="38">
        <f>L156</f>
        <v>3.76073</v>
      </c>
      <c r="BH156" s="23">
        <f>F156*AO156</f>
        <v>0</v>
      </c>
      <c r="BI156" s="23">
        <f>F156*AP156</f>
        <v>0</v>
      </c>
      <c r="BJ156" s="23">
        <f>F156*G156</f>
        <v>0</v>
      </c>
    </row>
    <row r="157" spans="1:47" ht="12.75">
      <c r="A157" s="4"/>
      <c r="B157" s="14" t="s">
        <v>136</v>
      </c>
      <c r="C157" s="14" t="s">
        <v>33</v>
      </c>
      <c r="D157" s="121" t="s">
        <v>404</v>
      </c>
      <c r="E157" s="4" t="s">
        <v>6</v>
      </c>
      <c r="F157" s="4" t="s">
        <v>6</v>
      </c>
      <c r="G157" s="4" t="s">
        <v>6</v>
      </c>
      <c r="H157" s="41">
        <f>SUM(H158:H163)</f>
        <v>0</v>
      </c>
      <c r="I157" s="41">
        <f>SUM(I158:I163)</f>
        <v>0</v>
      </c>
      <c r="J157" s="41">
        <f>SUM(J158:J163)</f>
        <v>0</v>
      </c>
      <c r="K157" s="30"/>
      <c r="L157" s="41">
        <f>SUM(L158:L163)</f>
        <v>0.8059386749999999</v>
      </c>
      <c r="M157" s="30"/>
      <c r="AI157" s="30" t="s">
        <v>136</v>
      </c>
      <c r="AS157" s="41">
        <f>SUM(AJ158:AJ163)</f>
        <v>0</v>
      </c>
      <c r="AT157" s="41">
        <f>SUM(AK158:AK163)</f>
        <v>0</v>
      </c>
      <c r="AU157" s="41">
        <f>SUM(AL158:AL163)</f>
        <v>0</v>
      </c>
    </row>
    <row r="158" spans="1:62" ht="25.5">
      <c r="A158" s="5" t="s">
        <v>80</v>
      </c>
      <c r="B158" s="5" t="s">
        <v>136</v>
      </c>
      <c r="C158" s="5" t="s">
        <v>211</v>
      </c>
      <c r="D158" s="122" t="s">
        <v>405</v>
      </c>
      <c r="E158" s="5" t="s">
        <v>507</v>
      </c>
      <c r="F158" s="21">
        <v>0.3</v>
      </c>
      <c r="G158" s="21">
        <v>0</v>
      </c>
      <c r="H158" s="21">
        <f>F158*AO158</f>
        <v>0</v>
      </c>
      <c r="I158" s="21">
        <f>F158*AP158</f>
        <v>0</v>
      </c>
      <c r="J158" s="21">
        <f>F158*G158</f>
        <v>0</v>
      </c>
      <c r="K158" s="21">
        <v>2.525</v>
      </c>
      <c r="L158" s="21">
        <f>F158*K158</f>
        <v>0.7575</v>
      </c>
      <c r="M158" s="34" t="s">
        <v>531</v>
      </c>
      <c r="Z158" s="38">
        <f>IF(AQ158="5",BJ158,0)</f>
        <v>0</v>
      </c>
      <c r="AB158" s="38">
        <f>IF(AQ158="1",BH158,0)</f>
        <v>0</v>
      </c>
      <c r="AC158" s="38">
        <f>IF(AQ158="1",BI158,0)</f>
        <v>0</v>
      </c>
      <c r="AD158" s="38">
        <f>IF(AQ158="7",BH158,0)</f>
        <v>0</v>
      </c>
      <c r="AE158" s="38">
        <f>IF(AQ158="7",BI158,0)</f>
        <v>0</v>
      </c>
      <c r="AF158" s="38">
        <f>IF(AQ158="2",BH158,0)</f>
        <v>0</v>
      </c>
      <c r="AG158" s="38">
        <f>IF(AQ158="2",BI158,0)</f>
        <v>0</v>
      </c>
      <c r="AH158" s="38">
        <f>IF(AQ158="0",BJ158,0)</f>
        <v>0</v>
      </c>
      <c r="AI158" s="30" t="s">
        <v>136</v>
      </c>
      <c r="AJ158" s="21">
        <f>IF(AN158=0,J158,0)</f>
        <v>0</v>
      </c>
      <c r="AK158" s="21">
        <f>IF(AN158=15,J158,0)</f>
        <v>0</v>
      </c>
      <c r="AL158" s="21">
        <f>IF(AN158=21,J158,0)</f>
        <v>0</v>
      </c>
      <c r="AN158" s="38">
        <v>15</v>
      </c>
      <c r="AO158" s="38">
        <f>G158*0.911735042735043</f>
        <v>0</v>
      </c>
      <c r="AP158" s="38">
        <f>G158*(1-0.911735042735043)</f>
        <v>0</v>
      </c>
      <c r="AQ158" s="34" t="s">
        <v>7</v>
      </c>
      <c r="AV158" s="38">
        <f>AW158+AX158</f>
        <v>0</v>
      </c>
      <c r="AW158" s="38">
        <f>F158*AO158</f>
        <v>0</v>
      </c>
      <c r="AX158" s="38">
        <f>F158*AP158</f>
        <v>0</v>
      </c>
      <c r="AY158" s="39" t="s">
        <v>552</v>
      </c>
      <c r="AZ158" s="39" t="s">
        <v>574</v>
      </c>
      <c r="BA158" s="30" t="s">
        <v>589</v>
      </c>
      <c r="BC158" s="38">
        <f>AW158+AX158</f>
        <v>0</v>
      </c>
      <c r="BD158" s="38">
        <f>G158/(100-BE158)*100</f>
        <v>0</v>
      </c>
      <c r="BE158" s="38">
        <v>0</v>
      </c>
      <c r="BF158" s="38">
        <f>L158</f>
        <v>0.7575</v>
      </c>
      <c r="BH158" s="21">
        <f>F158*AO158</f>
        <v>0</v>
      </c>
      <c r="BI158" s="21">
        <f>F158*AP158</f>
        <v>0</v>
      </c>
      <c r="BJ158" s="21">
        <f>F158*G158</f>
        <v>0</v>
      </c>
    </row>
    <row r="159" spans="4:6" ht="12.75">
      <c r="D159" s="123" t="s">
        <v>406</v>
      </c>
      <c r="F159" s="22">
        <v>0.3</v>
      </c>
    </row>
    <row r="160" spans="1:62" ht="12.75">
      <c r="A160" s="7" t="s">
        <v>81</v>
      </c>
      <c r="B160" s="7" t="s">
        <v>136</v>
      </c>
      <c r="C160" s="7" t="s">
        <v>212</v>
      </c>
      <c r="D160" s="125" t="s">
        <v>407</v>
      </c>
      <c r="E160" s="7" t="s">
        <v>509</v>
      </c>
      <c r="F160" s="23">
        <v>0.0225</v>
      </c>
      <c r="G160" s="23">
        <v>0</v>
      </c>
      <c r="H160" s="23">
        <f>F160*AO160</f>
        <v>0</v>
      </c>
      <c r="I160" s="23">
        <f>F160*AP160</f>
        <v>0</v>
      </c>
      <c r="J160" s="23">
        <f>F160*G160</f>
        <v>0</v>
      </c>
      <c r="K160" s="23">
        <v>1</v>
      </c>
      <c r="L160" s="23">
        <f>F160*K160</f>
        <v>0.0225</v>
      </c>
      <c r="M160" s="35" t="s">
        <v>531</v>
      </c>
      <c r="Z160" s="38">
        <f>IF(AQ160="5",BJ160,0)</f>
        <v>0</v>
      </c>
      <c r="AB160" s="38">
        <f>IF(AQ160="1",BH160,0)</f>
        <v>0</v>
      </c>
      <c r="AC160" s="38">
        <f>IF(AQ160="1",BI160,0)</f>
        <v>0</v>
      </c>
      <c r="AD160" s="38">
        <f>IF(AQ160="7",BH160,0)</f>
        <v>0</v>
      </c>
      <c r="AE160" s="38">
        <f>IF(AQ160="7",BI160,0)</f>
        <v>0</v>
      </c>
      <c r="AF160" s="38">
        <f>IF(AQ160="2",BH160,0)</f>
        <v>0</v>
      </c>
      <c r="AG160" s="38">
        <f>IF(AQ160="2",BI160,0)</f>
        <v>0</v>
      </c>
      <c r="AH160" s="38">
        <f>IF(AQ160="0",BJ160,0)</f>
        <v>0</v>
      </c>
      <c r="AI160" s="30" t="s">
        <v>136</v>
      </c>
      <c r="AJ160" s="23">
        <f>IF(AN160=0,J160,0)</f>
        <v>0</v>
      </c>
      <c r="AK160" s="23">
        <f>IF(AN160=15,J160,0)</f>
        <v>0</v>
      </c>
      <c r="AL160" s="23">
        <f>IF(AN160=21,J160,0)</f>
        <v>0</v>
      </c>
      <c r="AN160" s="38">
        <v>15</v>
      </c>
      <c r="AO160" s="38">
        <f>G160*1</f>
        <v>0</v>
      </c>
      <c r="AP160" s="38">
        <f>G160*(1-1)</f>
        <v>0</v>
      </c>
      <c r="AQ160" s="35" t="s">
        <v>7</v>
      </c>
      <c r="AV160" s="38">
        <f>AW160+AX160</f>
        <v>0</v>
      </c>
      <c r="AW160" s="38">
        <f>F160*AO160</f>
        <v>0</v>
      </c>
      <c r="AX160" s="38">
        <f>F160*AP160</f>
        <v>0</v>
      </c>
      <c r="AY160" s="39" t="s">
        <v>552</v>
      </c>
      <c r="AZ160" s="39" t="s">
        <v>574</v>
      </c>
      <c r="BA160" s="30" t="s">
        <v>589</v>
      </c>
      <c r="BC160" s="38">
        <f>AW160+AX160</f>
        <v>0</v>
      </c>
      <c r="BD160" s="38">
        <f>G160/(100-BE160)*100</f>
        <v>0</v>
      </c>
      <c r="BE160" s="38">
        <v>0</v>
      </c>
      <c r="BF160" s="38">
        <f>L160</f>
        <v>0.0225</v>
      </c>
      <c r="BH160" s="23">
        <f>F160*AO160</f>
        <v>0</v>
      </c>
      <c r="BI160" s="23">
        <f>F160*AP160</f>
        <v>0</v>
      </c>
      <c r="BJ160" s="23">
        <f>F160*G160</f>
        <v>0</v>
      </c>
    </row>
    <row r="161" spans="4:6" ht="12.75">
      <c r="D161" s="123" t="s">
        <v>408</v>
      </c>
      <c r="F161" s="22">
        <v>0.0225</v>
      </c>
    </row>
    <row r="162" spans="3:13" ht="12.75">
      <c r="C162" s="17" t="s">
        <v>175</v>
      </c>
      <c r="D162" s="87" t="s">
        <v>409</v>
      </c>
      <c r="E162" s="88"/>
      <c r="F162" s="88"/>
      <c r="G162" s="88"/>
      <c r="H162" s="88"/>
      <c r="I162" s="88"/>
      <c r="J162" s="88"/>
      <c r="K162" s="88"/>
      <c r="L162" s="88"/>
      <c r="M162" s="88"/>
    </row>
    <row r="163" spans="1:62" ht="12.75">
      <c r="A163" s="5" t="s">
        <v>82</v>
      </c>
      <c r="B163" s="5" t="s">
        <v>136</v>
      </c>
      <c r="C163" s="5" t="s">
        <v>213</v>
      </c>
      <c r="D163" s="122" t="s">
        <v>410</v>
      </c>
      <c r="E163" s="5" t="s">
        <v>509</v>
      </c>
      <c r="F163" s="21">
        <v>0.0225</v>
      </c>
      <c r="G163" s="21">
        <v>0</v>
      </c>
      <c r="H163" s="21">
        <f>F163*AO163</f>
        <v>0</v>
      </c>
      <c r="I163" s="21">
        <f>F163*AP163</f>
        <v>0</v>
      </c>
      <c r="J163" s="21">
        <f>F163*G163</f>
        <v>0</v>
      </c>
      <c r="K163" s="21">
        <v>1.15283</v>
      </c>
      <c r="L163" s="21">
        <f>F163*K163</f>
        <v>0.025938674999999998</v>
      </c>
      <c r="M163" s="34" t="s">
        <v>531</v>
      </c>
      <c r="Z163" s="38">
        <f>IF(AQ163="5",BJ163,0)</f>
        <v>0</v>
      </c>
      <c r="AB163" s="38">
        <f>IF(AQ163="1",BH163,0)</f>
        <v>0</v>
      </c>
      <c r="AC163" s="38">
        <f>IF(AQ163="1",BI163,0)</f>
        <v>0</v>
      </c>
      <c r="AD163" s="38">
        <f>IF(AQ163="7",BH163,0)</f>
        <v>0</v>
      </c>
      <c r="AE163" s="38">
        <f>IF(AQ163="7",BI163,0)</f>
        <v>0</v>
      </c>
      <c r="AF163" s="38">
        <f>IF(AQ163="2",BH163,0)</f>
        <v>0</v>
      </c>
      <c r="AG163" s="38">
        <f>IF(AQ163="2",BI163,0)</f>
        <v>0</v>
      </c>
      <c r="AH163" s="38">
        <f>IF(AQ163="0",BJ163,0)</f>
        <v>0</v>
      </c>
      <c r="AI163" s="30" t="s">
        <v>136</v>
      </c>
      <c r="AJ163" s="21">
        <f>IF(AN163=0,J163,0)</f>
        <v>0</v>
      </c>
      <c r="AK163" s="21">
        <f>IF(AN163=15,J163,0)</f>
        <v>0</v>
      </c>
      <c r="AL163" s="21">
        <f>IF(AN163=21,J163,0)</f>
        <v>0</v>
      </c>
      <c r="AN163" s="38">
        <v>15</v>
      </c>
      <c r="AO163" s="38">
        <f>G163*0.842983591885441</f>
        <v>0</v>
      </c>
      <c r="AP163" s="38">
        <f>G163*(1-0.842983591885441)</f>
        <v>0</v>
      </c>
      <c r="AQ163" s="34" t="s">
        <v>7</v>
      </c>
      <c r="AV163" s="38">
        <f>AW163+AX163</f>
        <v>0</v>
      </c>
      <c r="AW163" s="38">
        <f>F163*AO163</f>
        <v>0</v>
      </c>
      <c r="AX163" s="38">
        <f>F163*AP163</f>
        <v>0</v>
      </c>
      <c r="AY163" s="39" t="s">
        <v>552</v>
      </c>
      <c r="AZ163" s="39" t="s">
        <v>574</v>
      </c>
      <c r="BA163" s="30" t="s">
        <v>589</v>
      </c>
      <c r="BC163" s="38">
        <f>AW163+AX163</f>
        <v>0</v>
      </c>
      <c r="BD163" s="38">
        <f>G163/(100-BE163)*100</f>
        <v>0</v>
      </c>
      <c r="BE163" s="38">
        <v>0</v>
      </c>
      <c r="BF163" s="38">
        <f>L163</f>
        <v>0.025938674999999998</v>
      </c>
      <c r="BH163" s="21">
        <f>F163*AO163</f>
        <v>0</v>
      </c>
      <c r="BI163" s="21">
        <f>F163*AP163</f>
        <v>0</v>
      </c>
      <c r="BJ163" s="21">
        <f>F163*G163</f>
        <v>0</v>
      </c>
    </row>
    <row r="164" spans="1:47" ht="12.75">
      <c r="A164" s="4"/>
      <c r="B164" s="14" t="s">
        <v>136</v>
      </c>
      <c r="C164" s="14" t="s">
        <v>39</v>
      </c>
      <c r="D164" s="121" t="s">
        <v>411</v>
      </c>
      <c r="E164" s="4" t="s">
        <v>6</v>
      </c>
      <c r="F164" s="4" t="s">
        <v>6</v>
      </c>
      <c r="G164" s="4" t="s">
        <v>6</v>
      </c>
      <c r="H164" s="41">
        <f>SUM(H165:H169)</f>
        <v>0</v>
      </c>
      <c r="I164" s="41">
        <f>SUM(I165:I169)</f>
        <v>0</v>
      </c>
      <c r="J164" s="41">
        <f>SUM(J165:J169)</f>
        <v>0</v>
      </c>
      <c r="K164" s="30"/>
      <c r="L164" s="41">
        <f>SUM(L165:L169)</f>
        <v>0.6302</v>
      </c>
      <c r="M164" s="30"/>
      <c r="AI164" s="30" t="s">
        <v>136</v>
      </c>
      <c r="AS164" s="41">
        <f>SUM(AJ165:AJ169)</f>
        <v>0</v>
      </c>
      <c r="AT164" s="41">
        <f>SUM(AK165:AK169)</f>
        <v>0</v>
      </c>
      <c r="AU164" s="41">
        <f>SUM(AL165:AL169)</f>
        <v>0</v>
      </c>
    </row>
    <row r="165" spans="1:62" ht="25.5">
      <c r="A165" s="5" t="s">
        <v>83</v>
      </c>
      <c r="B165" s="5" t="s">
        <v>136</v>
      </c>
      <c r="C165" s="5" t="s">
        <v>214</v>
      </c>
      <c r="D165" s="122" t="s">
        <v>412</v>
      </c>
      <c r="E165" s="5" t="s">
        <v>506</v>
      </c>
      <c r="F165" s="21">
        <v>2</v>
      </c>
      <c r="G165" s="21">
        <v>0</v>
      </c>
      <c r="H165" s="21">
        <f>F165*AO165</f>
        <v>0</v>
      </c>
      <c r="I165" s="21">
        <f>F165*AP165</f>
        <v>0</v>
      </c>
      <c r="J165" s="21">
        <f>F165*G165</f>
        <v>0</v>
      </c>
      <c r="K165" s="21">
        <v>0.2798</v>
      </c>
      <c r="L165" s="21">
        <f>F165*K165</f>
        <v>0.5596</v>
      </c>
      <c r="M165" s="34" t="s">
        <v>531</v>
      </c>
      <c r="Z165" s="38">
        <f>IF(AQ165="5",BJ165,0)</f>
        <v>0</v>
      </c>
      <c r="AB165" s="38">
        <f>IF(AQ165="1",BH165,0)</f>
        <v>0</v>
      </c>
      <c r="AC165" s="38">
        <f>IF(AQ165="1",BI165,0)</f>
        <v>0</v>
      </c>
      <c r="AD165" s="38">
        <f>IF(AQ165="7",BH165,0)</f>
        <v>0</v>
      </c>
      <c r="AE165" s="38">
        <f>IF(AQ165="7",BI165,0)</f>
        <v>0</v>
      </c>
      <c r="AF165" s="38">
        <f>IF(AQ165="2",BH165,0)</f>
        <v>0</v>
      </c>
      <c r="AG165" s="38">
        <f>IF(AQ165="2",BI165,0)</f>
        <v>0</v>
      </c>
      <c r="AH165" s="38">
        <f>IF(AQ165="0",BJ165,0)</f>
        <v>0</v>
      </c>
      <c r="AI165" s="30" t="s">
        <v>136</v>
      </c>
      <c r="AJ165" s="21">
        <f>IF(AN165=0,J165,0)</f>
        <v>0</v>
      </c>
      <c r="AK165" s="21">
        <f>IF(AN165=15,J165,0)</f>
        <v>0</v>
      </c>
      <c r="AL165" s="21">
        <f>IF(AN165=21,J165,0)</f>
        <v>0</v>
      </c>
      <c r="AN165" s="38">
        <v>15</v>
      </c>
      <c r="AO165" s="38">
        <f>G165*0.282719298245614</f>
        <v>0</v>
      </c>
      <c r="AP165" s="38">
        <f>G165*(1-0.282719298245614)</f>
        <v>0</v>
      </c>
      <c r="AQ165" s="34" t="s">
        <v>7</v>
      </c>
      <c r="AV165" s="38">
        <f>AW165+AX165</f>
        <v>0</v>
      </c>
      <c r="AW165" s="38">
        <f>F165*AO165</f>
        <v>0</v>
      </c>
      <c r="AX165" s="38">
        <f>F165*AP165</f>
        <v>0</v>
      </c>
      <c r="AY165" s="39" t="s">
        <v>553</v>
      </c>
      <c r="AZ165" s="39" t="s">
        <v>575</v>
      </c>
      <c r="BA165" s="30" t="s">
        <v>589</v>
      </c>
      <c r="BC165" s="38">
        <f>AW165+AX165</f>
        <v>0</v>
      </c>
      <c r="BD165" s="38">
        <f>G165/(100-BE165)*100</f>
        <v>0</v>
      </c>
      <c r="BE165" s="38">
        <v>0</v>
      </c>
      <c r="BF165" s="38">
        <f>L165</f>
        <v>0.5596</v>
      </c>
      <c r="BH165" s="21">
        <f>F165*AO165</f>
        <v>0</v>
      </c>
      <c r="BI165" s="21">
        <f>F165*AP165</f>
        <v>0</v>
      </c>
      <c r="BJ165" s="21">
        <f>F165*G165</f>
        <v>0</v>
      </c>
    </row>
    <row r="166" spans="3:13" ht="12.75">
      <c r="C166" s="17" t="s">
        <v>175</v>
      </c>
      <c r="D166" s="87" t="s">
        <v>413</v>
      </c>
      <c r="E166" s="88"/>
      <c r="F166" s="88"/>
      <c r="G166" s="88"/>
      <c r="H166" s="88"/>
      <c r="I166" s="88"/>
      <c r="J166" s="88"/>
      <c r="K166" s="88"/>
      <c r="L166" s="88"/>
      <c r="M166" s="88"/>
    </row>
    <row r="167" spans="1:62" ht="25.5">
      <c r="A167" s="7" t="s">
        <v>84</v>
      </c>
      <c r="B167" s="7" t="s">
        <v>136</v>
      </c>
      <c r="C167" s="7" t="s">
        <v>215</v>
      </c>
      <c r="D167" s="125" t="s">
        <v>414</v>
      </c>
      <c r="E167" s="7" t="s">
        <v>506</v>
      </c>
      <c r="F167" s="23">
        <v>1</v>
      </c>
      <c r="G167" s="23">
        <v>0</v>
      </c>
      <c r="H167" s="23">
        <f>F167*AO167</f>
        <v>0</v>
      </c>
      <c r="I167" s="23">
        <f>F167*AP167</f>
        <v>0</v>
      </c>
      <c r="J167" s="23">
        <f>F167*G167</f>
        <v>0</v>
      </c>
      <c r="K167" s="23">
        <v>0.0477</v>
      </c>
      <c r="L167" s="23">
        <f>F167*K167</f>
        <v>0.0477</v>
      </c>
      <c r="M167" s="35" t="s">
        <v>531</v>
      </c>
      <c r="Z167" s="38">
        <f>IF(AQ167="5",BJ167,0)</f>
        <v>0</v>
      </c>
      <c r="AB167" s="38">
        <f>IF(AQ167="1",BH167,0)</f>
        <v>0</v>
      </c>
      <c r="AC167" s="38">
        <f>IF(AQ167="1",BI167,0)</f>
        <v>0</v>
      </c>
      <c r="AD167" s="38">
        <f>IF(AQ167="7",BH167,0)</f>
        <v>0</v>
      </c>
      <c r="AE167" s="38">
        <f>IF(AQ167="7",BI167,0)</f>
        <v>0</v>
      </c>
      <c r="AF167" s="38">
        <f>IF(AQ167="2",BH167,0)</f>
        <v>0</v>
      </c>
      <c r="AG167" s="38">
        <f>IF(AQ167="2",BI167,0)</f>
        <v>0</v>
      </c>
      <c r="AH167" s="38">
        <f>IF(AQ167="0",BJ167,0)</f>
        <v>0</v>
      </c>
      <c r="AI167" s="30" t="s">
        <v>136</v>
      </c>
      <c r="AJ167" s="23">
        <f>IF(AN167=0,J167,0)</f>
        <v>0</v>
      </c>
      <c r="AK167" s="23">
        <f>IF(AN167=15,J167,0)</f>
        <v>0</v>
      </c>
      <c r="AL167" s="23">
        <f>IF(AN167=21,J167,0)</f>
        <v>0</v>
      </c>
      <c r="AN167" s="38">
        <v>15</v>
      </c>
      <c r="AO167" s="38">
        <f>G167*1</f>
        <v>0</v>
      </c>
      <c r="AP167" s="38">
        <f>G167*(1-1)</f>
        <v>0</v>
      </c>
      <c r="AQ167" s="35" t="s">
        <v>7</v>
      </c>
      <c r="AV167" s="38">
        <f>AW167+AX167</f>
        <v>0</v>
      </c>
      <c r="AW167" s="38">
        <f>F167*AO167</f>
        <v>0</v>
      </c>
      <c r="AX167" s="38">
        <f>F167*AP167</f>
        <v>0</v>
      </c>
      <c r="AY167" s="39" t="s">
        <v>553</v>
      </c>
      <c r="AZ167" s="39" t="s">
        <v>575</v>
      </c>
      <c r="BA167" s="30" t="s">
        <v>589</v>
      </c>
      <c r="BC167" s="38">
        <f>AW167+AX167</f>
        <v>0</v>
      </c>
      <c r="BD167" s="38">
        <f>G167/(100-BE167)*100</f>
        <v>0</v>
      </c>
      <c r="BE167" s="38">
        <v>0</v>
      </c>
      <c r="BF167" s="38">
        <f>L167</f>
        <v>0.0477</v>
      </c>
      <c r="BH167" s="23">
        <f>F167*AO167</f>
        <v>0</v>
      </c>
      <c r="BI167" s="23">
        <f>F167*AP167</f>
        <v>0</v>
      </c>
      <c r="BJ167" s="23">
        <f>F167*G167</f>
        <v>0</v>
      </c>
    </row>
    <row r="168" spans="3:13" ht="12.75">
      <c r="C168" s="17" t="s">
        <v>175</v>
      </c>
      <c r="D168" s="87" t="s">
        <v>415</v>
      </c>
      <c r="E168" s="88"/>
      <c r="F168" s="88"/>
      <c r="G168" s="88"/>
      <c r="H168" s="88"/>
      <c r="I168" s="88"/>
      <c r="J168" s="88"/>
      <c r="K168" s="88"/>
      <c r="L168" s="88"/>
      <c r="M168" s="88"/>
    </row>
    <row r="169" spans="1:62" ht="25.5">
      <c r="A169" s="7" t="s">
        <v>85</v>
      </c>
      <c r="B169" s="7" t="s">
        <v>136</v>
      </c>
      <c r="C169" s="7" t="s">
        <v>216</v>
      </c>
      <c r="D169" s="125" t="s">
        <v>416</v>
      </c>
      <c r="E169" s="7" t="s">
        <v>506</v>
      </c>
      <c r="F169" s="23">
        <v>1</v>
      </c>
      <c r="G169" s="23">
        <v>0</v>
      </c>
      <c r="H169" s="23">
        <f>F169*AO169</f>
        <v>0</v>
      </c>
      <c r="I169" s="23">
        <f>F169*AP169</f>
        <v>0</v>
      </c>
      <c r="J169" s="23">
        <f>F169*G169</f>
        <v>0</v>
      </c>
      <c r="K169" s="23">
        <v>0.0229</v>
      </c>
      <c r="L169" s="23">
        <f>F169*K169</f>
        <v>0.0229</v>
      </c>
      <c r="M169" s="35" t="s">
        <v>531</v>
      </c>
      <c r="Z169" s="38">
        <f>IF(AQ169="5",BJ169,0)</f>
        <v>0</v>
      </c>
      <c r="AB169" s="38">
        <f>IF(AQ169="1",BH169,0)</f>
        <v>0</v>
      </c>
      <c r="AC169" s="38">
        <f>IF(AQ169="1",BI169,0)</f>
        <v>0</v>
      </c>
      <c r="AD169" s="38">
        <f>IF(AQ169="7",BH169,0)</f>
        <v>0</v>
      </c>
      <c r="AE169" s="38">
        <f>IF(AQ169="7",BI169,0)</f>
        <v>0</v>
      </c>
      <c r="AF169" s="38">
        <f>IF(AQ169="2",BH169,0)</f>
        <v>0</v>
      </c>
      <c r="AG169" s="38">
        <f>IF(AQ169="2",BI169,0)</f>
        <v>0</v>
      </c>
      <c r="AH169" s="38">
        <f>IF(AQ169="0",BJ169,0)</f>
        <v>0</v>
      </c>
      <c r="AI169" s="30" t="s">
        <v>136</v>
      </c>
      <c r="AJ169" s="23">
        <f>IF(AN169=0,J169,0)</f>
        <v>0</v>
      </c>
      <c r="AK169" s="23">
        <f>IF(AN169=15,J169,0)</f>
        <v>0</v>
      </c>
      <c r="AL169" s="23">
        <f>IF(AN169=21,J169,0)</f>
        <v>0</v>
      </c>
      <c r="AN169" s="38">
        <v>15</v>
      </c>
      <c r="AO169" s="38">
        <f>G169*1</f>
        <v>0</v>
      </c>
      <c r="AP169" s="38">
        <f>G169*(1-1)</f>
        <v>0</v>
      </c>
      <c r="AQ169" s="35" t="s">
        <v>7</v>
      </c>
      <c r="AV169" s="38">
        <f>AW169+AX169</f>
        <v>0</v>
      </c>
      <c r="AW169" s="38">
        <f>F169*AO169</f>
        <v>0</v>
      </c>
      <c r="AX169" s="38">
        <f>F169*AP169</f>
        <v>0</v>
      </c>
      <c r="AY169" s="39" t="s">
        <v>553</v>
      </c>
      <c r="AZ169" s="39" t="s">
        <v>575</v>
      </c>
      <c r="BA169" s="30" t="s">
        <v>589</v>
      </c>
      <c r="BC169" s="38">
        <f>AW169+AX169</f>
        <v>0</v>
      </c>
      <c r="BD169" s="38">
        <f>G169/(100-BE169)*100</f>
        <v>0</v>
      </c>
      <c r="BE169" s="38">
        <v>0</v>
      </c>
      <c r="BF169" s="38">
        <f>L169</f>
        <v>0.0229</v>
      </c>
      <c r="BH169" s="23">
        <f>F169*AO169</f>
        <v>0</v>
      </c>
      <c r="BI169" s="23">
        <f>F169*AP169</f>
        <v>0</v>
      </c>
      <c r="BJ169" s="23">
        <f>F169*G169</f>
        <v>0</v>
      </c>
    </row>
    <row r="170" spans="3:13" ht="12.75">
      <c r="C170" s="17" t="s">
        <v>175</v>
      </c>
      <c r="D170" s="87" t="s">
        <v>415</v>
      </c>
      <c r="E170" s="88"/>
      <c r="F170" s="88"/>
      <c r="G170" s="88"/>
      <c r="H170" s="88"/>
      <c r="I170" s="88"/>
      <c r="J170" s="88"/>
      <c r="K170" s="88"/>
      <c r="L170" s="88"/>
      <c r="M170" s="88"/>
    </row>
    <row r="171" spans="1:47" ht="12.75">
      <c r="A171" s="4"/>
      <c r="B171" s="14" t="s">
        <v>136</v>
      </c>
      <c r="C171" s="14" t="s">
        <v>69</v>
      </c>
      <c r="D171" s="121" t="s">
        <v>417</v>
      </c>
      <c r="E171" s="4" t="s">
        <v>6</v>
      </c>
      <c r="F171" s="4" t="s">
        <v>6</v>
      </c>
      <c r="G171" s="4" t="s">
        <v>6</v>
      </c>
      <c r="H171" s="41">
        <f>SUM(H172:H172)</f>
        <v>0</v>
      </c>
      <c r="I171" s="41">
        <f>SUM(I172:I172)</f>
        <v>0</v>
      </c>
      <c r="J171" s="41">
        <f>SUM(J172:J172)</f>
        <v>0</v>
      </c>
      <c r="K171" s="30"/>
      <c r="L171" s="41">
        <f>SUM(L172:L172)</f>
        <v>0.012300000000000002</v>
      </c>
      <c r="M171" s="30"/>
      <c r="AI171" s="30" t="s">
        <v>136</v>
      </c>
      <c r="AS171" s="41">
        <f>SUM(AJ172:AJ172)</f>
        <v>0</v>
      </c>
      <c r="AT171" s="41">
        <f>SUM(AK172:AK172)</f>
        <v>0</v>
      </c>
      <c r="AU171" s="41">
        <f>SUM(AL172:AL172)</f>
        <v>0</v>
      </c>
    </row>
    <row r="172" spans="1:62" ht="25.5">
      <c r="A172" s="19" t="s">
        <v>86</v>
      </c>
      <c r="B172" s="19" t="s">
        <v>136</v>
      </c>
      <c r="C172" s="19" t="s">
        <v>217</v>
      </c>
      <c r="D172" s="126" t="s">
        <v>418</v>
      </c>
      <c r="E172" s="19" t="s">
        <v>505</v>
      </c>
      <c r="F172" s="38">
        <v>3</v>
      </c>
      <c r="G172" s="38">
        <v>0</v>
      </c>
      <c r="H172" s="38">
        <f>F172*AO172</f>
        <v>0</v>
      </c>
      <c r="I172" s="38">
        <f>F172*AP172</f>
        <v>0</v>
      </c>
      <c r="J172" s="38">
        <f>F172*G172</f>
        <v>0</v>
      </c>
      <c r="K172" s="38">
        <v>0.0041</v>
      </c>
      <c r="L172" s="38">
        <f>F172*K172</f>
        <v>0.012300000000000002</v>
      </c>
      <c r="M172" s="39" t="s">
        <v>531</v>
      </c>
      <c r="Z172" s="38">
        <f>IF(AQ172="5",BJ172,0)</f>
        <v>0</v>
      </c>
      <c r="AB172" s="38">
        <f>IF(AQ172="1",BH172,0)</f>
        <v>0</v>
      </c>
      <c r="AC172" s="38">
        <f>IF(AQ172="1",BI172,0)</f>
        <v>0</v>
      </c>
      <c r="AD172" s="38">
        <f>IF(AQ172="7",BH172,0)</f>
        <v>0</v>
      </c>
      <c r="AE172" s="38">
        <f>IF(AQ172="7",BI172,0)</f>
        <v>0</v>
      </c>
      <c r="AF172" s="38">
        <f>IF(AQ172="2",BH172,0)</f>
        <v>0</v>
      </c>
      <c r="AG172" s="38">
        <f>IF(AQ172="2",BI172,0)</f>
        <v>0</v>
      </c>
      <c r="AH172" s="38">
        <f>IF(AQ172="0",BJ172,0)</f>
        <v>0</v>
      </c>
      <c r="AI172" s="30" t="s">
        <v>136</v>
      </c>
      <c r="AJ172" s="21">
        <f>IF(AN172=0,J172,0)</f>
        <v>0</v>
      </c>
      <c r="AK172" s="21">
        <f>IF(AN172=15,J172,0)</f>
        <v>0</v>
      </c>
      <c r="AL172" s="21">
        <f>IF(AN172=21,J172,0)</f>
        <v>0</v>
      </c>
      <c r="AN172" s="38">
        <v>15</v>
      </c>
      <c r="AO172" s="38">
        <f>G172*0</f>
        <v>0</v>
      </c>
      <c r="AP172" s="38">
        <f>G172*(1-0)</f>
        <v>0</v>
      </c>
      <c r="AQ172" s="34" t="s">
        <v>7</v>
      </c>
      <c r="AV172" s="38">
        <f>AW172+AX172</f>
        <v>0</v>
      </c>
      <c r="AW172" s="38">
        <f>F172*AO172</f>
        <v>0</v>
      </c>
      <c r="AX172" s="38">
        <f>F172*AP172</f>
        <v>0</v>
      </c>
      <c r="AY172" s="39" t="s">
        <v>554</v>
      </c>
      <c r="AZ172" s="39" t="s">
        <v>576</v>
      </c>
      <c r="BA172" s="30" t="s">
        <v>589</v>
      </c>
      <c r="BC172" s="38">
        <f>AW172+AX172</f>
        <v>0</v>
      </c>
      <c r="BD172" s="38">
        <f>G172/(100-BE172)*100</f>
        <v>0</v>
      </c>
      <c r="BE172" s="38">
        <v>0</v>
      </c>
      <c r="BF172" s="38">
        <f>L172</f>
        <v>0.012300000000000002</v>
      </c>
      <c r="BH172" s="21">
        <f>F172*AO172</f>
        <v>0</v>
      </c>
      <c r="BI172" s="21">
        <f>F172*AP172</f>
        <v>0</v>
      </c>
      <c r="BJ172" s="21">
        <f>F172*G172</f>
        <v>0</v>
      </c>
    </row>
    <row r="173" spans="1:13" ht="12.75">
      <c r="A173" s="60"/>
      <c r="B173" s="60"/>
      <c r="C173" s="60"/>
      <c r="D173" s="127" t="s">
        <v>419</v>
      </c>
      <c r="E173" s="60"/>
      <c r="F173" s="61">
        <v>3</v>
      </c>
      <c r="G173" s="60"/>
      <c r="H173" s="60"/>
      <c r="I173" s="60"/>
      <c r="J173" s="60"/>
      <c r="K173" s="60"/>
      <c r="L173" s="60"/>
      <c r="M173" s="60"/>
    </row>
    <row r="174" spans="1:47" ht="12.75">
      <c r="A174" s="4"/>
      <c r="B174" s="14" t="s">
        <v>136</v>
      </c>
      <c r="C174" s="14" t="s">
        <v>218</v>
      </c>
      <c r="D174" s="121" t="s">
        <v>420</v>
      </c>
      <c r="E174" s="4" t="s">
        <v>6</v>
      </c>
      <c r="F174" s="4" t="s">
        <v>6</v>
      </c>
      <c r="G174" s="4" t="s">
        <v>6</v>
      </c>
      <c r="H174" s="41">
        <f>SUM(H175:H177)</f>
        <v>0</v>
      </c>
      <c r="I174" s="41">
        <f>SUM(I175:I177)</f>
        <v>0</v>
      </c>
      <c r="J174" s="41">
        <f>SUM(J175:J177)</f>
        <v>0</v>
      </c>
      <c r="K174" s="30"/>
      <c r="L174" s="41">
        <f>SUM(L175:L177)</f>
        <v>0.00704</v>
      </c>
      <c r="M174" s="30"/>
      <c r="AI174" s="30" t="s">
        <v>136</v>
      </c>
      <c r="AS174" s="41">
        <f>SUM(AJ175:AJ177)</f>
        <v>0</v>
      </c>
      <c r="AT174" s="41">
        <f>SUM(AK175:AK177)</f>
        <v>0</v>
      </c>
      <c r="AU174" s="41">
        <f>SUM(AL175:AL177)</f>
        <v>0</v>
      </c>
    </row>
    <row r="175" spans="1:62" ht="12.75">
      <c r="A175" s="5" t="s">
        <v>87</v>
      </c>
      <c r="B175" s="5" t="s">
        <v>136</v>
      </c>
      <c r="C175" s="5" t="s">
        <v>219</v>
      </c>
      <c r="D175" s="122" t="s">
        <v>421</v>
      </c>
      <c r="E175" s="5" t="s">
        <v>512</v>
      </c>
      <c r="F175" s="21">
        <v>1</v>
      </c>
      <c r="G175" s="21">
        <v>0</v>
      </c>
      <c r="H175" s="21">
        <f>F175*AO175</f>
        <v>0</v>
      </c>
      <c r="I175" s="21">
        <f>F175*AP175</f>
        <v>0</v>
      </c>
      <c r="J175" s="21">
        <f>F175*G175</f>
        <v>0</v>
      </c>
      <c r="K175" s="21">
        <v>0.00704</v>
      </c>
      <c r="L175" s="21">
        <f>F175*K175</f>
        <v>0.00704</v>
      </c>
      <c r="M175" s="34" t="s">
        <v>531</v>
      </c>
      <c r="Z175" s="38">
        <f>IF(AQ175="5",BJ175,0)</f>
        <v>0</v>
      </c>
      <c r="AB175" s="38">
        <f>IF(AQ175="1",BH175,0)</f>
        <v>0</v>
      </c>
      <c r="AC175" s="38">
        <f>IF(AQ175="1",BI175,0)</f>
        <v>0</v>
      </c>
      <c r="AD175" s="38">
        <f>IF(AQ175="7",BH175,0)</f>
        <v>0</v>
      </c>
      <c r="AE175" s="38">
        <f>IF(AQ175="7",BI175,0)</f>
        <v>0</v>
      </c>
      <c r="AF175" s="38">
        <f>IF(AQ175="2",BH175,0)</f>
        <v>0</v>
      </c>
      <c r="AG175" s="38">
        <f>IF(AQ175="2",BI175,0)</f>
        <v>0</v>
      </c>
      <c r="AH175" s="38">
        <f>IF(AQ175="0",BJ175,0)</f>
        <v>0</v>
      </c>
      <c r="AI175" s="30" t="s">
        <v>136</v>
      </c>
      <c r="AJ175" s="21">
        <f>IF(AN175=0,J175,0)</f>
        <v>0</v>
      </c>
      <c r="AK175" s="21">
        <f>IF(AN175=15,J175,0)</f>
        <v>0</v>
      </c>
      <c r="AL175" s="21">
        <f>IF(AN175=21,J175,0)</f>
        <v>0</v>
      </c>
      <c r="AN175" s="38">
        <v>15</v>
      </c>
      <c r="AO175" s="38">
        <f>G175*0.692927797833935</f>
        <v>0</v>
      </c>
      <c r="AP175" s="38">
        <f>G175*(1-0.692927797833935)</f>
        <v>0</v>
      </c>
      <c r="AQ175" s="34" t="s">
        <v>13</v>
      </c>
      <c r="AV175" s="38">
        <f>AW175+AX175</f>
        <v>0</v>
      </c>
      <c r="AW175" s="38">
        <f>F175*AO175</f>
        <v>0</v>
      </c>
      <c r="AX175" s="38">
        <f>F175*AP175</f>
        <v>0</v>
      </c>
      <c r="AY175" s="39" t="s">
        <v>555</v>
      </c>
      <c r="AZ175" s="39" t="s">
        <v>577</v>
      </c>
      <c r="BA175" s="30" t="s">
        <v>589</v>
      </c>
      <c r="BC175" s="38">
        <f>AW175+AX175</f>
        <v>0</v>
      </c>
      <c r="BD175" s="38">
        <f>G175/(100-BE175)*100</f>
        <v>0</v>
      </c>
      <c r="BE175" s="38">
        <v>0</v>
      </c>
      <c r="BF175" s="38">
        <f>L175</f>
        <v>0.00704</v>
      </c>
      <c r="BH175" s="21">
        <f>F175*AO175</f>
        <v>0</v>
      </c>
      <c r="BI175" s="21">
        <f>F175*AP175</f>
        <v>0</v>
      </c>
      <c r="BJ175" s="21">
        <f>F175*G175</f>
        <v>0</v>
      </c>
    </row>
    <row r="176" spans="1:62" ht="12.75">
      <c r="A176" s="5" t="s">
        <v>88</v>
      </c>
      <c r="B176" s="5" t="s">
        <v>136</v>
      </c>
      <c r="C176" s="5" t="s">
        <v>220</v>
      </c>
      <c r="D176" s="122" t="s">
        <v>422</v>
      </c>
      <c r="E176" s="5" t="s">
        <v>506</v>
      </c>
      <c r="F176" s="21">
        <v>1</v>
      </c>
      <c r="G176" s="21">
        <v>0</v>
      </c>
      <c r="H176" s="21">
        <f>F176*AO176</f>
        <v>0</v>
      </c>
      <c r="I176" s="21">
        <f>F176*AP176</f>
        <v>0</v>
      </c>
      <c r="J176" s="21">
        <f>F176*G176</f>
        <v>0</v>
      </c>
      <c r="K176" s="21">
        <v>0</v>
      </c>
      <c r="L176" s="21">
        <f>F176*K176</f>
        <v>0</v>
      </c>
      <c r="M176" s="34" t="s">
        <v>531</v>
      </c>
      <c r="Z176" s="38">
        <f>IF(AQ176="5",BJ176,0)</f>
        <v>0</v>
      </c>
      <c r="AB176" s="38">
        <f>IF(AQ176="1",BH176,0)</f>
        <v>0</v>
      </c>
      <c r="AC176" s="38">
        <f>IF(AQ176="1",BI176,0)</f>
        <v>0</v>
      </c>
      <c r="AD176" s="38">
        <f>IF(AQ176="7",BH176,0)</f>
        <v>0</v>
      </c>
      <c r="AE176" s="38">
        <f>IF(AQ176="7",BI176,0)</f>
        <v>0</v>
      </c>
      <c r="AF176" s="38">
        <f>IF(AQ176="2",BH176,0)</f>
        <v>0</v>
      </c>
      <c r="AG176" s="38">
        <f>IF(AQ176="2",BI176,0)</f>
        <v>0</v>
      </c>
      <c r="AH176" s="38">
        <f>IF(AQ176="0",BJ176,0)</f>
        <v>0</v>
      </c>
      <c r="AI176" s="30" t="s">
        <v>136</v>
      </c>
      <c r="AJ176" s="21">
        <f>IF(AN176=0,J176,0)</f>
        <v>0</v>
      </c>
      <c r="AK176" s="21">
        <f>IF(AN176=15,J176,0)</f>
        <v>0</v>
      </c>
      <c r="AL176" s="21">
        <f>IF(AN176=21,J176,0)</f>
        <v>0</v>
      </c>
      <c r="AN176" s="38">
        <v>15</v>
      </c>
      <c r="AO176" s="38">
        <f>G176*0</f>
        <v>0</v>
      </c>
      <c r="AP176" s="38">
        <f>G176*(1-0)</f>
        <v>0</v>
      </c>
      <c r="AQ176" s="34" t="s">
        <v>13</v>
      </c>
      <c r="AV176" s="38">
        <f>AW176+AX176</f>
        <v>0</v>
      </c>
      <c r="AW176" s="38">
        <f>F176*AO176</f>
        <v>0</v>
      </c>
      <c r="AX176" s="38">
        <f>F176*AP176</f>
        <v>0</v>
      </c>
      <c r="AY176" s="39" t="s">
        <v>555</v>
      </c>
      <c r="AZ176" s="39" t="s">
        <v>577</v>
      </c>
      <c r="BA176" s="30" t="s">
        <v>589</v>
      </c>
      <c r="BC176" s="38">
        <f>AW176+AX176</f>
        <v>0</v>
      </c>
      <c r="BD176" s="38">
        <f>G176/(100-BE176)*100</f>
        <v>0</v>
      </c>
      <c r="BE176" s="38">
        <v>0</v>
      </c>
      <c r="BF176" s="38">
        <f>L176</f>
        <v>0</v>
      </c>
      <c r="BH176" s="21">
        <f>F176*AO176</f>
        <v>0</v>
      </c>
      <c r="BI176" s="21">
        <f>F176*AP176</f>
        <v>0</v>
      </c>
      <c r="BJ176" s="21">
        <f>F176*G176</f>
        <v>0</v>
      </c>
    </row>
    <row r="177" spans="1:62" ht="12.75">
      <c r="A177" s="5" t="s">
        <v>89</v>
      </c>
      <c r="B177" s="5" t="s">
        <v>136</v>
      </c>
      <c r="C177" s="5" t="s">
        <v>221</v>
      </c>
      <c r="D177" s="122" t="s">
        <v>423</v>
      </c>
      <c r="E177" s="5" t="s">
        <v>510</v>
      </c>
      <c r="F177" s="21">
        <v>22.5</v>
      </c>
      <c r="G177" s="21">
        <v>0</v>
      </c>
      <c r="H177" s="21">
        <f>F177*AO177</f>
        <v>0</v>
      </c>
      <c r="I177" s="21">
        <f>F177*AP177</f>
        <v>0</v>
      </c>
      <c r="J177" s="21">
        <f>F177*G177</f>
        <v>0</v>
      </c>
      <c r="K177" s="21">
        <v>0</v>
      </c>
      <c r="L177" s="21">
        <f>F177*K177</f>
        <v>0</v>
      </c>
      <c r="M177" s="34" t="s">
        <v>531</v>
      </c>
      <c r="Z177" s="38">
        <f>IF(AQ177="5",BJ177,0)</f>
        <v>0</v>
      </c>
      <c r="AB177" s="38">
        <f>IF(AQ177="1",BH177,0)</f>
        <v>0</v>
      </c>
      <c r="AC177" s="38">
        <f>IF(AQ177="1",BI177,0)</f>
        <v>0</v>
      </c>
      <c r="AD177" s="38">
        <f>IF(AQ177="7",BH177,0)</f>
        <v>0</v>
      </c>
      <c r="AE177" s="38">
        <f>IF(AQ177="7",BI177,0)</f>
        <v>0</v>
      </c>
      <c r="AF177" s="38">
        <f>IF(AQ177="2",BH177,0)</f>
        <v>0</v>
      </c>
      <c r="AG177" s="38">
        <f>IF(AQ177="2",BI177,0)</f>
        <v>0</v>
      </c>
      <c r="AH177" s="38">
        <f>IF(AQ177="0",BJ177,0)</f>
        <v>0</v>
      </c>
      <c r="AI177" s="30" t="s">
        <v>136</v>
      </c>
      <c r="AJ177" s="21">
        <f>IF(AN177=0,J177,0)</f>
        <v>0</v>
      </c>
      <c r="AK177" s="21">
        <f>IF(AN177=15,J177,0)</f>
        <v>0</v>
      </c>
      <c r="AL177" s="21">
        <f>IF(AN177=21,J177,0)</f>
        <v>0</v>
      </c>
      <c r="AN177" s="38">
        <v>15</v>
      </c>
      <c r="AO177" s="38">
        <f>G177*0.0139797253106606</f>
        <v>0</v>
      </c>
      <c r="AP177" s="38">
        <f>G177*(1-0.0139797253106606)</f>
        <v>0</v>
      </c>
      <c r="AQ177" s="34" t="s">
        <v>13</v>
      </c>
      <c r="AV177" s="38">
        <f>AW177+AX177</f>
        <v>0</v>
      </c>
      <c r="AW177" s="38">
        <f>F177*AO177</f>
        <v>0</v>
      </c>
      <c r="AX177" s="38">
        <f>F177*AP177</f>
        <v>0</v>
      </c>
      <c r="AY177" s="39" t="s">
        <v>555</v>
      </c>
      <c r="AZ177" s="39" t="s">
        <v>577</v>
      </c>
      <c r="BA177" s="30" t="s">
        <v>589</v>
      </c>
      <c r="BC177" s="38">
        <f>AW177+AX177</f>
        <v>0</v>
      </c>
      <c r="BD177" s="38">
        <f>G177/(100-BE177)*100</f>
        <v>0</v>
      </c>
      <c r="BE177" s="38">
        <v>0</v>
      </c>
      <c r="BF177" s="38">
        <f>L177</f>
        <v>0</v>
      </c>
      <c r="BH177" s="21">
        <f>F177*AO177</f>
        <v>0</v>
      </c>
      <c r="BI177" s="21">
        <f>F177*AP177</f>
        <v>0</v>
      </c>
      <c r="BJ177" s="21">
        <f>F177*G177</f>
        <v>0</v>
      </c>
    </row>
    <row r="178" spans="1:47" ht="12.75">
      <c r="A178" s="4"/>
      <c r="B178" s="14" t="s">
        <v>136</v>
      </c>
      <c r="C178" s="14" t="s">
        <v>222</v>
      </c>
      <c r="D178" s="121" t="s">
        <v>424</v>
      </c>
      <c r="E178" s="4" t="s">
        <v>6</v>
      </c>
      <c r="F178" s="4" t="s">
        <v>6</v>
      </c>
      <c r="G178" s="4" t="s">
        <v>6</v>
      </c>
      <c r="H178" s="41">
        <f>SUM(H179:H185)</f>
        <v>0</v>
      </c>
      <c r="I178" s="41">
        <f>SUM(I179:I185)</f>
        <v>0</v>
      </c>
      <c r="J178" s="41">
        <f>SUM(J179:J185)</f>
        <v>0</v>
      </c>
      <c r="K178" s="30"/>
      <c r="L178" s="41">
        <f>SUM(L179:L185)</f>
        <v>0.07891</v>
      </c>
      <c r="M178" s="30"/>
      <c r="AI178" s="30" t="s">
        <v>136</v>
      </c>
      <c r="AS178" s="41">
        <f>SUM(AJ179:AJ185)</f>
        <v>0</v>
      </c>
      <c r="AT178" s="41">
        <f>SUM(AK179:AK185)</f>
        <v>0</v>
      </c>
      <c r="AU178" s="41">
        <f>SUM(AL179:AL185)</f>
        <v>0</v>
      </c>
    </row>
    <row r="179" spans="1:62" ht="12.75">
      <c r="A179" s="5" t="s">
        <v>90</v>
      </c>
      <c r="B179" s="5" t="s">
        <v>136</v>
      </c>
      <c r="C179" s="5" t="s">
        <v>223</v>
      </c>
      <c r="D179" s="122" t="s">
        <v>425</v>
      </c>
      <c r="E179" s="5" t="s">
        <v>512</v>
      </c>
      <c r="F179" s="21">
        <v>1</v>
      </c>
      <c r="G179" s="21">
        <v>0</v>
      </c>
      <c r="H179" s="21">
        <f>F179*AO179</f>
        <v>0</v>
      </c>
      <c r="I179" s="21">
        <f>F179*AP179</f>
        <v>0</v>
      </c>
      <c r="J179" s="21">
        <f>F179*G179</f>
        <v>0</v>
      </c>
      <c r="K179" s="21">
        <v>0.01832</v>
      </c>
      <c r="L179" s="21">
        <f>F179*K179</f>
        <v>0.01832</v>
      </c>
      <c r="M179" s="34" t="s">
        <v>531</v>
      </c>
      <c r="Z179" s="38">
        <f>IF(AQ179="5",BJ179,0)</f>
        <v>0</v>
      </c>
      <c r="AB179" s="38">
        <f>IF(AQ179="1",BH179,0)</f>
        <v>0</v>
      </c>
      <c r="AC179" s="38">
        <f>IF(AQ179="1",BI179,0)</f>
        <v>0</v>
      </c>
      <c r="AD179" s="38">
        <f>IF(AQ179="7",BH179,0)</f>
        <v>0</v>
      </c>
      <c r="AE179" s="38">
        <f>IF(AQ179="7",BI179,0)</f>
        <v>0</v>
      </c>
      <c r="AF179" s="38">
        <f>IF(AQ179="2",BH179,0)</f>
        <v>0</v>
      </c>
      <c r="AG179" s="38">
        <f>IF(AQ179="2",BI179,0)</f>
        <v>0</v>
      </c>
      <c r="AH179" s="38">
        <f>IF(AQ179="0",BJ179,0)</f>
        <v>0</v>
      </c>
      <c r="AI179" s="30" t="s">
        <v>136</v>
      </c>
      <c r="AJ179" s="21">
        <f>IF(AN179=0,J179,0)</f>
        <v>0</v>
      </c>
      <c r="AK179" s="21">
        <f>IF(AN179=15,J179,0)</f>
        <v>0</v>
      </c>
      <c r="AL179" s="21">
        <f>IF(AN179=21,J179,0)</f>
        <v>0</v>
      </c>
      <c r="AN179" s="38">
        <v>15</v>
      </c>
      <c r="AO179" s="38">
        <f>G179*0</f>
        <v>0</v>
      </c>
      <c r="AP179" s="38">
        <f>G179*(1-0)</f>
        <v>0</v>
      </c>
      <c r="AQ179" s="34" t="s">
        <v>13</v>
      </c>
      <c r="AV179" s="38">
        <f>AW179+AX179</f>
        <v>0</v>
      </c>
      <c r="AW179" s="38">
        <f>F179*AO179</f>
        <v>0</v>
      </c>
      <c r="AX179" s="38">
        <f>F179*AP179</f>
        <v>0</v>
      </c>
      <c r="AY179" s="39" t="s">
        <v>556</v>
      </c>
      <c r="AZ179" s="39" t="s">
        <v>578</v>
      </c>
      <c r="BA179" s="30" t="s">
        <v>589</v>
      </c>
      <c r="BC179" s="38">
        <f>AW179+AX179</f>
        <v>0</v>
      </c>
      <c r="BD179" s="38">
        <f>G179/(100-BE179)*100</f>
        <v>0</v>
      </c>
      <c r="BE179" s="38">
        <v>0</v>
      </c>
      <c r="BF179" s="38">
        <f>L179</f>
        <v>0.01832</v>
      </c>
      <c r="BH179" s="21">
        <f>F179*AO179</f>
        <v>0</v>
      </c>
      <c r="BI179" s="21">
        <f>F179*AP179</f>
        <v>0</v>
      </c>
      <c r="BJ179" s="21">
        <f>F179*G179</f>
        <v>0</v>
      </c>
    </row>
    <row r="180" spans="1:62" ht="12.75">
      <c r="A180" s="7" t="s">
        <v>91</v>
      </c>
      <c r="B180" s="7" t="s">
        <v>136</v>
      </c>
      <c r="C180" s="7" t="s">
        <v>224</v>
      </c>
      <c r="D180" s="125" t="s">
        <v>426</v>
      </c>
      <c r="E180" s="7" t="s">
        <v>506</v>
      </c>
      <c r="F180" s="23">
        <v>1</v>
      </c>
      <c r="G180" s="23">
        <v>0</v>
      </c>
      <c r="H180" s="23">
        <f>F180*AO180</f>
        <v>0</v>
      </c>
      <c r="I180" s="23">
        <f>F180*AP180</f>
        <v>0</v>
      </c>
      <c r="J180" s="23">
        <f>F180*G180</f>
        <v>0</v>
      </c>
      <c r="K180" s="23">
        <v>0.00028</v>
      </c>
      <c r="L180" s="23">
        <f>F180*K180</f>
        <v>0.00028</v>
      </c>
      <c r="M180" s="35" t="s">
        <v>531</v>
      </c>
      <c r="Z180" s="38">
        <f>IF(AQ180="5",BJ180,0)</f>
        <v>0</v>
      </c>
      <c r="AB180" s="38">
        <f>IF(AQ180="1",BH180,0)</f>
        <v>0</v>
      </c>
      <c r="AC180" s="38">
        <f>IF(AQ180="1",BI180,0)</f>
        <v>0</v>
      </c>
      <c r="AD180" s="38">
        <f>IF(AQ180="7",BH180,0)</f>
        <v>0</v>
      </c>
      <c r="AE180" s="38">
        <f>IF(AQ180="7",BI180,0)</f>
        <v>0</v>
      </c>
      <c r="AF180" s="38">
        <f>IF(AQ180="2",BH180,0)</f>
        <v>0</v>
      </c>
      <c r="AG180" s="38">
        <f>IF(AQ180="2",BI180,0)</f>
        <v>0</v>
      </c>
      <c r="AH180" s="38">
        <f>IF(AQ180="0",BJ180,0)</f>
        <v>0</v>
      </c>
      <c r="AI180" s="30" t="s">
        <v>136</v>
      </c>
      <c r="AJ180" s="23">
        <f>IF(AN180=0,J180,0)</f>
        <v>0</v>
      </c>
      <c r="AK180" s="23">
        <f>IF(AN180=15,J180,0)</f>
        <v>0</v>
      </c>
      <c r="AL180" s="23">
        <f>IF(AN180=21,J180,0)</f>
        <v>0</v>
      </c>
      <c r="AN180" s="38">
        <v>15</v>
      </c>
      <c r="AO180" s="38">
        <f>G180*1</f>
        <v>0</v>
      </c>
      <c r="AP180" s="38">
        <f>G180*(1-1)</f>
        <v>0</v>
      </c>
      <c r="AQ180" s="35" t="s">
        <v>13</v>
      </c>
      <c r="AV180" s="38">
        <f>AW180+AX180</f>
        <v>0</v>
      </c>
      <c r="AW180" s="38">
        <f>F180*AO180</f>
        <v>0</v>
      </c>
      <c r="AX180" s="38">
        <f>F180*AP180</f>
        <v>0</v>
      </c>
      <c r="AY180" s="39" t="s">
        <v>556</v>
      </c>
      <c r="AZ180" s="39" t="s">
        <v>578</v>
      </c>
      <c r="BA180" s="30" t="s">
        <v>589</v>
      </c>
      <c r="BC180" s="38">
        <f>AW180+AX180</f>
        <v>0</v>
      </c>
      <c r="BD180" s="38">
        <f>G180/(100-BE180)*100</f>
        <v>0</v>
      </c>
      <c r="BE180" s="38">
        <v>0</v>
      </c>
      <c r="BF180" s="38">
        <f>L180</f>
        <v>0.00028</v>
      </c>
      <c r="BH180" s="23">
        <f>F180*AO180</f>
        <v>0</v>
      </c>
      <c r="BI180" s="23">
        <f>F180*AP180</f>
        <v>0</v>
      </c>
      <c r="BJ180" s="23">
        <f>F180*G180</f>
        <v>0</v>
      </c>
    </row>
    <row r="181" spans="3:13" ht="12.75">
      <c r="C181" s="17" t="s">
        <v>175</v>
      </c>
      <c r="D181" s="87" t="s">
        <v>427</v>
      </c>
      <c r="E181" s="88"/>
      <c r="F181" s="88"/>
      <c r="G181" s="88"/>
      <c r="H181" s="88"/>
      <c r="I181" s="88"/>
      <c r="J181" s="88"/>
      <c r="K181" s="88"/>
      <c r="L181" s="88"/>
      <c r="M181" s="88"/>
    </row>
    <row r="182" spans="1:62" ht="12.75">
      <c r="A182" s="7" t="s">
        <v>92</v>
      </c>
      <c r="B182" s="7" t="s">
        <v>136</v>
      </c>
      <c r="C182" s="7" t="s">
        <v>225</v>
      </c>
      <c r="D182" s="125" t="s">
        <v>428</v>
      </c>
      <c r="E182" s="7" t="s">
        <v>506</v>
      </c>
      <c r="F182" s="23">
        <v>1</v>
      </c>
      <c r="G182" s="23">
        <v>0</v>
      </c>
      <c r="H182" s="23">
        <f>F182*AO182</f>
        <v>0</v>
      </c>
      <c r="I182" s="23">
        <f>F182*AP182</f>
        <v>0</v>
      </c>
      <c r="J182" s="23">
        <f>F182*G182</f>
        <v>0</v>
      </c>
      <c r="K182" s="23">
        <v>0.00031</v>
      </c>
      <c r="L182" s="23">
        <f>F182*K182</f>
        <v>0.00031</v>
      </c>
      <c r="M182" s="35" t="s">
        <v>531</v>
      </c>
      <c r="Z182" s="38">
        <f>IF(AQ182="5",BJ182,0)</f>
        <v>0</v>
      </c>
      <c r="AB182" s="38">
        <f>IF(AQ182="1",BH182,0)</f>
        <v>0</v>
      </c>
      <c r="AC182" s="38">
        <f>IF(AQ182="1",BI182,0)</f>
        <v>0</v>
      </c>
      <c r="AD182" s="38">
        <f>IF(AQ182="7",BH182,0)</f>
        <v>0</v>
      </c>
      <c r="AE182" s="38">
        <f>IF(AQ182="7",BI182,0)</f>
        <v>0</v>
      </c>
      <c r="AF182" s="38">
        <f>IF(AQ182="2",BH182,0)</f>
        <v>0</v>
      </c>
      <c r="AG182" s="38">
        <f>IF(AQ182="2",BI182,0)</f>
        <v>0</v>
      </c>
      <c r="AH182" s="38">
        <f>IF(AQ182="0",BJ182,0)</f>
        <v>0</v>
      </c>
      <c r="AI182" s="30" t="s">
        <v>136</v>
      </c>
      <c r="AJ182" s="23">
        <f>IF(AN182=0,J182,0)</f>
        <v>0</v>
      </c>
      <c r="AK182" s="23">
        <f>IF(AN182=15,J182,0)</f>
        <v>0</v>
      </c>
      <c r="AL182" s="23">
        <f>IF(AN182=21,J182,0)</f>
        <v>0</v>
      </c>
      <c r="AN182" s="38">
        <v>15</v>
      </c>
      <c r="AO182" s="38">
        <f>G182*1</f>
        <v>0</v>
      </c>
      <c r="AP182" s="38">
        <f>G182*(1-1)</f>
        <v>0</v>
      </c>
      <c r="AQ182" s="35" t="s">
        <v>13</v>
      </c>
      <c r="AV182" s="38">
        <f>AW182+AX182</f>
        <v>0</v>
      </c>
      <c r="AW182" s="38">
        <f>F182*AO182</f>
        <v>0</v>
      </c>
      <c r="AX182" s="38">
        <f>F182*AP182</f>
        <v>0</v>
      </c>
      <c r="AY182" s="39" t="s">
        <v>556</v>
      </c>
      <c r="AZ182" s="39" t="s">
        <v>578</v>
      </c>
      <c r="BA182" s="30" t="s">
        <v>589</v>
      </c>
      <c r="BC182" s="38">
        <f>AW182+AX182</f>
        <v>0</v>
      </c>
      <c r="BD182" s="38">
        <f>G182/(100-BE182)*100</f>
        <v>0</v>
      </c>
      <c r="BE182" s="38">
        <v>0</v>
      </c>
      <c r="BF182" s="38">
        <f>L182</f>
        <v>0.00031</v>
      </c>
      <c r="BH182" s="23">
        <f>F182*AO182</f>
        <v>0</v>
      </c>
      <c r="BI182" s="23">
        <f>F182*AP182</f>
        <v>0</v>
      </c>
      <c r="BJ182" s="23">
        <f>F182*G182</f>
        <v>0</v>
      </c>
    </row>
    <row r="183" spans="3:13" ht="12.75">
      <c r="C183" s="17" t="s">
        <v>175</v>
      </c>
      <c r="D183" s="87" t="s">
        <v>429</v>
      </c>
      <c r="E183" s="88"/>
      <c r="F183" s="88"/>
      <c r="G183" s="88"/>
      <c r="H183" s="88"/>
      <c r="I183" s="88"/>
      <c r="J183" s="88"/>
      <c r="K183" s="88"/>
      <c r="L183" s="88"/>
      <c r="M183" s="88"/>
    </row>
    <row r="184" spans="1:62" ht="51">
      <c r="A184" s="7" t="s">
        <v>93</v>
      </c>
      <c r="B184" s="7" t="s">
        <v>136</v>
      </c>
      <c r="C184" s="7" t="s">
        <v>226</v>
      </c>
      <c r="D184" s="125" t="s">
        <v>430</v>
      </c>
      <c r="E184" s="7" t="s">
        <v>511</v>
      </c>
      <c r="F184" s="23">
        <v>1</v>
      </c>
      <c r="G184" s="23">
        <v>0</v>
      </c>
      <c r="H184" s="23">
        <f>F184*AO184</f>
        <v>0</v>
      </c>
      <c r="I184" s="23">
        <f>F184*AP184</f>
        <v>0</v>
      </c>
      <c r="J184" s="23">
        <f>F184*G184</f>
        <v>0</v>
      </c>
      <c r="K184" s="23">
        <v>0.05</v>
      </c>
      <c r="L184" s="23">
        <f>F184*K184</f>
        <v>0.05</v>
      </c>
      <c r="M184" s="35"/>
      <c r="Z184" s="38">
        <f>IF(AQ184="5",BJ184,0)</f>
        <v>0</v>
      </c>
      <c r="AB184" s="38">
        <f>IF(AQ184="1",BH184,0)</f>
        <v>0</v>
      </c>
      <c r="AC184" s="38">
        <f>IF(AQ184="1",BI184,0)</f>
        <v>0</v>
      </c>
      <c r="AD184" s="38">
        <f>IF(AQ184="7",BH184,0)</f>
        <v>0</v>
      </c>
      <c r="AE184" s="38">
        <f>IF(AQ184="7",BI184,0)</f>
        <v>0</v>
      </c>
      <c r="AF184" s="38">
        <f>IF(AQ184="2",BH184,0)</f>
        <v>0</v>
      </c>
      <c r="AG184" s="38">
        <f>IF(AQ184="2",BI184,0)</f>
        <v>0</v>
      </c>
      <c r="AH184" s="38">
        <f>IF(AQ184="0",BJ184,0)</f>
        <v>0</v>
      </c>
      <c r="AI184" s="30" t="s">
        <v>136</v>
      </c>
      <c r="AJ184" s="23">
        <f>IF(AN184=0,J184,0)</f>
        <v>0</v>
      </c>
      <c r="AK184" s="23">
        <f>IF(AN184=15,J184,0)</f>
        <v>0</v>
      </c>
      <c r="AL184" s="23">
        <f>IF(AN184=21,J184,0)</f>
        <v>0</v>
      </c>
      <c r="AN184" s="38">
        <v>15</v>
      </c>
      <c r="AO184" s="38">
        <f>G184*1</f>
        <v>0</v>
      </c>
      <c r="AP184" s="38">
        <f>G184*(1-1)</f>
        <v>0</v>
      </c>
      <c r="AQ184" s="35" t="s">
        <v>13</v>
      </c>
      <c r="AV184" s="38">
        <f>AW184+AX184</f>
        <v>0</v>
      </c>
      <c r="AW184" s="38">
        <f>F184*AO184</f>
        <v>0</v>
      </c>
      <c r="AX184" s="38">
        <f>F184*AP184</f>
        <v>0</v>
      </c>
      <c r="AY184" s="39" t="s">
        <v>556</v>
      </c>
      <c r="AZ184" s="39" t="s">
        <v>578</v>
      </c>
      <c r="BA184" s="30" t="s">
        <v>589</v>
      </c>
      <c r="BC184" s="38">
        <f>AW184+AX184</f>
        <v>0</v>
      </c>
      <c r="BD184" s="38">
        <f>G184/(100-BE184)*100</f>
        <v>0</v>
      </c>
      <c r="BE184" s="38">
        <v>0</v>
      </c>
      <c r="BF184" s="38">
        <f>L184</f>
        <v>0.05</v>
      </c>
      <c r="BH184" s="23">
        <f>F184*AO184</f>
        <v>0</v>
      </c>
      <c r="BI184" s="23">
        <f>F184*AP184</f>
        <v>0</v>
      </c>
      <c r="BJ184" s="23">
        <f>F184*G184</f>
        <v>0</v>
      </c>
    </row>
    <row r="185" spans="1:62" ht="25.5">
      <c r="A185" s="7" t="s">
        <v>94</v>
      </c>
      <c r="B185" s="7" t="s">
        <v>136</v>
      </c>
      <c r="C185" s="7" t="s">
        <v>227</v>
      </c>
      <c r="D185" s="125" t="s">
        <v>431</v>
      </c>
      <c r="E185" s="7" t="s">
        <v>511</v>
      </c>
      <c r="F185" s="23">
        <v>1</v>
      </c>
      <c r="G185" s="23">
        <v>0</v>
      </c>
      <c r="H185" s="23">
        <f>F185*AO185</f>
        <v>0</v>
      </c>
      <c r="I185" s="23">
        <f>F185*AP185</f>
        <v>0</v>
      </c>
      <c r="J185" s="23">
        <f>F185*G185</f>
        <v>0</v>
      </c>
      <c r="K185" s="23">
        <v>0.01</v>
      </c>
      <c r="L185" s="23">
        <f>F185*K185</f>
        <v>0.01</v>
      </c>
      <c r="M185" s="35"/>
      <c r="Z185" s="38">
        <f>IF(AQ185="5",BJ185,0)</f>
        <v>0</v>
      </c>
      <c r="AB185" s="38">
        <f>IF(AQ185="1",BH185,0)</f>
        <v>0</v>
      </c>
      <c r="AC185" s="38">
        <f>IF(AQ185="1",BI185,0)</f>
        <v>0</v>
      </c>
      <c r="AD185" s="38">
        <f>IF(AQ185="7",BH185,0)</f>
        <v>0</v>
      </c>
      <c r="AE185" s="38">
        <f>IF(AQ185="7",BI185,0)</f>
        <v>0</v>
      </c>
      <c r="AF185" s="38">
        <f>IF(AQ185="2",BH185,0)</f>
        <v>0</v>
      </c>
      <c r="AG185" s="38">
        <f>IF(AQ185="2",BI185,0)</f>
        <v>0</v>
      </c>
      <c r="AH185" s="38">
        <f>IF(AQ185="0",BJ185,0)</f>
        <v>0</v>
      </c>
      <c r="AI185" s="30" t="s">
        <v>136</v>
      </c>
      <c r="AJ185" s="23">
        <f>IF(AN185=0,J185,0)</f>
        <v>0</v>
      </c>
      <c r="AK185" s="23">
        <f>IF(AN185=15,J185,0)</f>
        <v>0</v>
      </c>
      <c r="AL185" s="23">
        <f>IF(AN185=21,J185,0)</f>
        <v>0</v>
      </c>
      <c r="AN185" s="38">
        <v>15</v>
      </c>
      <c r="AO185" s="38">
        <f>G185*1</f>
        <v>0</v>
      </c>
      <c r="AP185" s="38">
        <f>G185*(1-1)</f>
        <v>0</v>
      </c>
      <c r="AQ185" s="35" t="s">
        <v>13</v>
      </c>
      <c r="AV185" s="38">
        <f>AW185+AX185</f>
        <v>0</v>
      </c>
      <c r="AW185" s="38">
        <f>F185*AO185</f>
        <v>0</v>
      </c>
      <c r="AX185" s="38">
        <f>F185*AP185</f>
        <v>0</v>
      </c>
      <c r="AY185" s="39" t="s">
        <v>556</v>
      </c>
      <c r="AZ185" s="39" t="s">
        <v>578</v>
      </c>
      <c r="BA185" s="30" t="s">
        <v>589</v>
      </c>
      <c r="BC185" s="38">
        <f>AW185+AX185</f>
        <v>0</v>
      </c>
      <c r="BD185" s="38">
        <f>G185/(100-BE185)*100</f>
        <v>0</v>
      </c>
      <c r="BE185" s="38">
        <v>0</v>
      </c>
      <c r="BF185" s="38">
        <f>L185</f>
        <v>0.01</v>
      </c>
      <c r="BH185" s="23">
        <f>F185*AO185</f>
        <v>0</v>
      </c>
      <c r="BI185" s="23">
        <f>F185*AP185</f>
        <v>0</v>
      </c>
      <c r="BJ185" s="23">
        <f>F185*G185</f>
        <v>0</v>
      </c>
    </row>
    <row r="186" spans="1:47" ht="12.75">
      <c r="A186" s="4"/>
      <c r="B186" s="14" t="s">
        <v>136</v>
      </c>
      <c r="C186" s="14" t="s">
        <v>228</v>
      </c>
      <c r="D186" s="121" t="s">
        <v>432</v>
      </c>
      <c r="E186" s="4" t="s">
        <v>6</v>
      </c>
      <c r="F186" s="4" t="s">
        <v>6</v>
      </c>
      <c r="G186" s="4" t="s">
        <v>6</v>
      </c>
      <c r="H186" s="41">
        <f>SUM(H187:H203)</f>
        <v>0</v>
      </c>
      <c r="I186" s="41">
        <f>SUM(I187:I203)</f>
        <v>0</v>
      </c>
      <c r="J186" s="41">
        <f>SUM(J187:J203)</f>
        <v>0</v>
      </c>
      <c r="K186" s="30"/>
      <c r="L186" s="41">
        <f>SUM(L187:L203)</f>
        <v>1.078192</v>
      </c>
      <c r="M186" s="30"/>
      <c r="AI186" s="30" t="s">
        <v>136</v>
      </c>
      <c r="AS186" s="41">
        <f>SUM(AJ187:AJ203)</f>
        <v>0</v>
      </c>
      <c r="AT186" s="41">
        <f>SUM(AK187:AK203)</f>
        <v>0</v>
      </c>
      <c r="AU186" s="41">
        <f>SUM(AL187:AL203)</f>
        <v>0</v>
      </c>
    </row>
    <row r="187" spans="1:62" ht="12.75">
      <c r="A187" s="5" t="s">
        <v>95</v>
      </c>
      <c r="B187" s="5" t="s">
        <v>136</v>
      </c>
      <c r="C187" s="5" t="s">
        <v>229</v>
      </c>
      <c r="D187" s="122" t="s">
        <v>433</v>
      </c>
      <c r="E187" s="5" t="s">
        <v>505</v>
      </c>
      <c r="F187" s="21">
        <v>12.5</v>
      </c>
      <c r="G187" s="21">
        <v>0</v>
      </c>
      <c r="H187" s="21">
        <f>F187*AO187</f>
        <v>0</v>
      </c>
      <c r="I187" s="21">
        <f>F187*AP187</f>
        <v>0</v>
      </c>
      <c r="J187" s="21">
        <f>F187*G187</f>
        <v>0</v>
      </c>
      <c r="K187" s="21">
        <v>0</v>
      </c>
      <c r="L187" s="21">
        <f>F187*K187</f>
        <v>0</v>
      </c>
      <c r="M187" s="34" t="s">
        <v>531</v>
      </c>
      <c r="Z187" s="38">
        <f>IF(AQ187="5",BJ187,0)</f>
        <v>0</v>
      </c>
      <c r="AB187" s="38">
        <f>IF(AQ187="1",BH187,0)</f>
        <v>0</v>
      </c>
      <c r="AC187" s="38">
        <f>IF(AQ187="1",BI187,0)</f>
        <v>0</v>
      </c>
      <c r="AD187" s="38">
        <f>IF(AQ187="7",BH187,0)</f>
        <v>0</v>
      </c>
      <c r="AE187" s="38">
        <f>IF(AQ187="7",BI187,0)</f>
        <v>0</v>
      </c>
      <c r="AF187" s="38">
        <f>IF(AQ187="2",BH187,0)</f>
        <v>0</v>
      </c>
      <c r="AG187" s="38">
        <f>IF(AQ187="2",BI187,0)</f>
        <v>0</v>
      </c>
      <c r="AH187" s="38">
        <f>IF(AQ187="0",BJ187,0)</f>
        <v>0</v>
      </c>
      <c r="AI187" s="30" t="s">
        <v>136</v>
      </c>
      <c r="AJ187" s="21">
        <f>IF(AN187=0,J187,0)</f>
        <v>0</v>
      </c>
      <c r="AK187" s="21">
        <f>IF(AN187=15,J187,0)</f>
        <v>0</v>
      </c>
      <c r="AL187" s="21">
        <f>IF(AN187=21,J187,0)</f>
        <v>0</v>
      </c>
      <c r="AN187" s="38">
        <v>15</v>
      </c>
      <c r="AO187" s="38">
        <f>G187*0</f>
        <v>0</v>
      </c>
      <c r="AP187" s="38">
        <f>G187*(1-0)</f>
        <v>0</v>
      </c>
      <c r="AQ187" s="34" t="s">
        <v>13</v>
      </c>
      <c r="AV187" s="38">
        <f>AW187+AX187</f>
        <v>0</v>
      </c>
      <c r="AW187" s="38">
        <f>F187*AO187</f>
        <v>0</v>
      </c>
      <c r="AX187" s="38">
        <f>F187*AP187</f>
        <v>0</v>
      </c>
      <c r="AY187" s="39" t="s">
        <v>557</v>
      </c>
      <c r="AZ187" s="39" t="s">
        <v>579</v>
      </c>
      <c r="BA187" s="30" t="s">
        <v>589</v>
      </c>
      <c r="BC187" s="38">
        <f>AW187+AX187</f>
        <v>0</v>
      </c>
      <c r="BD187" s="38">
        <f>G187/(100-BE187)*100</f>
        <v>0</v>
      </c>
      <c r="BE187" s="38">
        <v>0</v>
      </c>
      <c r="BF187" s="38">
        <f>L187</f>
        <v>0</v>
      </c>
      <c r="BH187" s="21">
        <f>F187*AO187</f>
        <v>0</v>
      </c>
      <c r="BI187" s="21">
        <f>F187*AP187</f>
        <v>0</v>
      </c>
      <c r="BJ187" s="21">
        <f>F187*G187</f>
        <v>0</v>
      </c>
    </row>
    <row r="188" ht="12.75">
      <c r="D188" s="18" t="s">
        <v>434</v>
      </c>
    </row>
    <row r="189" spans="1:62" ht="38.25">
      <c r="A189" s="7" t="s">
        <v>96</v>
      </c>
      <c r="B189" s="7" t="s">
        <v>136</v>
      </c>
      <c r="C189" s="7" t="s">
        <v>230</v>
      </c>
      <c r="D189" s="125" t="s">
        <v>435</v>
      </c>
      <c r="E189" s="7" t="s">
        <v>513</v>
      </c>
      <c r="F189" s="23">
        <v>12.5</v>
      </c>
      <c r="G189" s="23">
        <v>0</v>
      </c>
      <c r="H189" s="23">
        <f>F189*AO189</f>
        <v>0</v>
      </c>
      <c r="I189" s="23">
        <f>F189*AP189</f>
        <v>0</v>
      </c>
      <c r="J189" s="23">
        <f>F189*G189</f>
        <v>0</v>
      </c>
      <c r="K189" s="23">
        <v>0.01</v>
      </c>
      <c r="L189" s="23">
        <f>F189*K189</f>
        <v>0.125</v>
      </c>
      <c r="M189" s="35" t="s">
        <v>532</v>
      </c>
      <c r="Z189" s="38">
        <f>IF(AQ189="5",BJ189,0)</f>
        <v>0</v>
      </c>
      <c r="AB189" s="38">
        <f>IF(AQ189="1",BH189,0)</f>
        <v>0</v>
      </c>
      <c r="AC189" s="38">
        <f>IF(AQ189="1",BI189,0)</f>
        <v>0</v>
      </c>
      <c r="AD189" s="38">
        <f>IF(AQ189="7",BH189,0)</f>
        <v>0</v>
      </c>
      <c r="AE189" s="38">
        <f>IF(AQ189="7",BI189,0)</f>
        <v>0</v>
      </c>
      <c r="AF189" s="38">
        <f>IF(AQ189="2",BH189,0)</f>
        <v>0</v>
      </c>
      <c r="AG189" s="38">
        <f>IF(AQ189="2",BI189,0)</f>
        <v>0</v>
      </c>
      <c r="AH189" s="38">
        <f>IF(AQ189="0",BJ189,0)</f>
        <v>0</v>
      </c>
      <c r="AI189" s="30" t="s">
        <v>136</v>
      </c>
      <c r="AJ189" s="23">
        <f>IF(AN189=0,J189,0)</f>
        <v>0</v>
      </c>
      <c r="AK189" s="23">
        <f>IF(AN189=15,J189,0)</f>
        <v>0</v>
      </c>
      <c r="AL189" s="23">
        <f>IF(AN189=21,J189,0)</f>
        <v>0</v>
      </c>
      <c r="AN189" s="38">
        <v>15</v>
      </c>
      <c r="AO189" s="38">
        <f>G189*1</f>
        <v>0</v>
      </c>
      <c r="AP189" s="38">
        <f>G189*(1-1)</f>
        <v>0</v>
      </c>
      <c r="AQ189" s="35" t="s">
        <v>13</v>
      </c>
      <c r="AV189" s="38">
        <f>AW189+AX189</f>
        <v>0</v>
      </c>
      <c r="AW189" s="38">
        <f>F189*AO189</f>
        <v>0</v>
      </c>
      <c r="AX189" s="38">
        <f>F189*AP189</f>
        <v>0</v>
      </c>
      <c r="AY189" s="39" t="s">
        <v>557</v>
      </c>
      <c r="AZ189" s="39" t="s">
        <v>579</v>
      </c>
      <c r="BA189" s="30" t="s">
        <v>589</v>
      </c>
      <c r="BC189" s="38">
        <f>AW189+AX189</f>
        <v>0</v>
      </c>
      <c r="BD189" s="38">
        <f>G189/(100-BE189)*100</f>
        <v>0</v>
      </c>
      <c r="BE189" s="38">
        <v>0</v>
      </c>
      <c r="BF189" s="38">
        <f>L189</f>
        <v>0.125</v>
      </c>
      <c r="BH189" s="23">
        <f>F189*AO189</f>
        <v>0</v>
      </c>
      <c r="BI189" s="23">
        <f>F189*AP189</f>
        <v>0</v>
      </c>
      <c r="BJ189" s="23">
        <f>F189*G189</f>
        <v>0</v>
      </c>
    </row>
    <row r="190" spans="1:62" ht="25.5">
      <c r="A190" s="5" t="s">
        <v>97</v>
      </c>
      <c r="B190" s="5" t="s">
        <v>136</v>
      </c>
      <c r="C190" s="5" t="s">
        <v>231</v>
      </c>
      <c r="D190" s="122" t="s">
        <v>436</v>
      </c>
      <c r="E190" s="5" t="s">
        <v>510</v>
      </c>
      <c r="F190" s="21">
        <v>71.8</v>
      </c>
      <c r="G190" s="21">
        <v>0</v>
      </c>
      <c r="H190" s="21">
        <f>F190*AO190</f>
        <v>0</v>
      </c>
      <c r="I190" s="21">
        <f>F190*AP190</f>
        <v>0</v>
      </c>
      <c r="J190" s="21">
        <f>F190*G190</f>
        <v>0</v>
      </c>
      <c r="K190" s="21">
        <v>0.00255</v>
      </c>
      <c r="L190" s="21">
        <f>F190*K190</f>
        <v>0.18309</v>
      </c>
      <c r="M190" s="34" t="s">
        <v>531</v>
      </c>
      <c r="Z190" s="38">
        <f>IF(AQ190="5",BJ190,0)</f>
        <v>0</v>
      </c>
      <c r="AB190" s="38">
        <f>IF(AQ190="1",BH190,0)</f>
        <v>0</v>
      </c>
      <c r="AC190" s="38">
        <f>IF(AQ190="1",BI190,0)</f>
        <v>0</v>
      </c>
      <c r="AD190" s="38">
        <f>IF(AQ190="7",BH190,0)</f>
        <v>0</v>
      </c>
      <c r="AE190" s="38">
        <f>IF(AQ190="7",BI190,0)</f>
        <v>0</v>
      </c>
      <c r="AF190" s="38">
        <f>IF(AQ190="2",BH190,0)</f>
        <v>0</v>
      </c>
      <c r="AG190" s="38">
        <f>IF(AQ190="2",BI190,0)</f>
        <v>0</v>
      </c>
      <c r="AH190" s="38">
        <f>IF(AQ190="0",BJ190,0)</f>
        <v>0</v>
      </c>
      <c r="AI190" s="30" t="s">
        <v>136</v>
      </c>
      <c r="AJ190" s="21">
        <f>IF(AN190=0,J190,0)</f>
        <v>0</v>
      </c>
      <c r="AK190" s="21">
        <f>IF(AN190=15,J190,0)</f>
        <v>0</v>
      </c>
      <c r="AL190" s="21">
        <f>IF(AN190=21,J190,0)</f>
        <v>0</v>
      </c>
      <c r="AN190" s="38">
        <v>15</v>
      </c>
      <c r="AO190" s="38">
        <f>G190*0.0251367153560732</f>
        <v>0</v>
      </c>
      <c r="AP190" s="38">
        <f>G190*(1-0.0251367153560732)</f>
        <v>0</v>
      </c>
      <c r="AQ190" s="34" t="s">
        <v>13</v>
      </c>
      <c r="AV190" s="38">
        <f>AW190+AX190</f>
        <v>0</v>
      </c>
      <c r="AW190" s="38">
        <f>F190*AO190</f>
        <v>0</v>
      </c>
      <c r="AX190" s="38">
        <f>F190*AP190</f>
        <v>0</v>
      </c>
      <c r="AY190" s="39" t="s">
        <v>557</v>
      </c>
      <c r="AZ190" s="39" t="s">
        <v>579</v>
      </c>
      <c r="BA190" s="30" t="s">
        <v>589</v>
      </c>
      <c r="BC190" s="38">
        <f>AW190+AX190</f>
        <v>0</v>
      </c>
      <c r="BD190" s="38">
        <f>G190/(100-BE190)*100</f>
        <v>0</v>
      </c>
      <c r="BE190" s="38">
        <v>0</v>
      </c>
      <c r="BF190" s="38">
        <f>L190</f>
        <v>0.18309</v>
      </c>
      <c r="BH190" s="21">
        <f>F190*AO190</f>
        <v>0</v>
      </c>
      <c r="BI190" s="21">
        <f>F190*AP190</f>
        <v>0</v>
      </c>
      <c r="BJ190" s="21">
        <f>F190*G190</f>
        <v>0</v>
      </c>
    </row>
    <row r="191" spans="4:6" ht="12.75">
      <c r="D191" s="123" t="s">
        <v>437</v>
      </c>
      <c r="F191" s="22">
        <v>71.8</v>
      </c>
    </row>
    <row r="192" spans="1:62" ht="25.5">
      <c r="A192" s="7" t="s">
        <v>98</v>
      </c>
      <c r="B192" s="7" t="s">
        <v>136</v>
      </c>
      <c r="C192" s="7" t="s">
        <v>232</v>
      </c>
      <c r="D192" s="125" t="s">
        <v>438</v>
      </c>
      <c r="E192" s="7" t="s">
        <v>507</v>
      </c>
      <c r="F192" s="23">
        <v>0.50781</v>
      </c>
      <c r="G192" s="23">
        <v>0</v>
      </c>
      <c r="H192" s="23">
        <f>F192*AO192</f>
        <v>0</v>
      </c>
      <c r="I192" s="23">
        <f>F192*AP192</f>
        <v>0</v>
      </c>
      <c r="J192" s="23">
        <f>F192*G192</f>
        <v>0</v>
      </c>
      <c r="K192" s="23">
        <v>0.5</v>
      </c>
      <c r="L192" s="23">
        <f>F192*K192</f>
        <v>0.253905</v>
      </c>
      <c r="M192" s="35" t="s">
        <v>531</v>
      </c>
      <c r="Z192" s="38">
        <f>IF(AQ192="5",BJ192,0)</f>
        <v>0</v>
      </c>
      <c r="AB192" s="38">
        <f>IF(AQ192="1",BH192,0)</f>
        <v>0</v>
      </c>
      <c r="AC192" s="38">
        <f>IF(AQ192="1",BI192,0)</f>
        <v>0</v>
      </c>
      <c r="AD192" s="38">
        <f>IF(AQ192="7",BH192,0)</f>
        <v>0</v>
      </c>
      <c r="AE192" s="38">
        <f>IF(AQ192="7",BI192,0)</f>
        <v>0</v>
      </c>
      <c r="AF192" s="38">
        <f>IF(AQ192="2",BH192,0)</f>
        <v>0</v>
      </c>
      <c r="AG192" s="38">
        <f>IF(AQ192="2",BI192,0)</f>
        <v>0</v>
      </c>
      <c r="AH192" s="38">
        <f>IF(AQ192="0",BJ192,0)</f>
        <v>0</v>
      </c>
      <c r="AI192" s="30" t="s">
        <v>136</v>
      </c>
      <c r="AJ192" s="23">
        <f>IF(AN192=0,J192,0)</f>
        <v>0</v>
      </c>
      <c r="AK192" s="23">
        <f>IF(AN192=15,J192,0)</f>
        <v>0</v>
      </c>
      <c r="AL192" s="23">
        <f>IF(AN192=21,J192,0)</f>
        <v>0</v>
      </c>
      <c r="AN192" s="38">
        <v>15</v>
      </c>
      <c r="AO192" s="38">
        <f>G192*1</f>
        <v>0</v>
      </c>
      <c r="AP192" s="38">
        <f>G192*(1-1)</f>
        <v>0</v>
      </c>
      <c r="AQ192" s="35" t="s">
        <v>13</v>
      </c>
      <c r="AV192" s="38">
        <f>AW192+AX192</f>
        <v>0</v>
      </c>
      <c r="AW192" s="38">
        <f>F192*AO192</f>
        <v>0</v>
      </c>
      <c r="AX192" s="38">
        <f>F192*AP192</f>
        <v>0</v>
      </c>
      <c r="AY192" s="39" t="s">
        <v>557</v>
      </c>
      <c r="AZ192" s="39" t="s">
        <v>579</v>
      </c>
      <c r="BA192" s="30" t="s">
        <v>589</v>
      </c>
      <c r="BC192" s="38">
        <f>AW192+AX192</f>
        <v>0</v>
      </c>
      <c r="BD192" s="38">
        <f>G192/(100-BE192)*100</f>
        <v>0</v>
      </c>
      <c r="BE192" s="38">
        <v>0</v>
      </c>
      <c r="BF192" s="38">
        <f>L192</f>
        <v>0.253905</v>
      </c>
      <c r="BH192" s="23">
        <f>F192*AO192</f>
        <v>0</v>
      </c>
      <c r="BI192" s="23">
        <f>F192*AP192</f>
        <v>0</v>
      </c>
      <c r="BJ192" s="23">
        <f>F192*G192</f>
        <v>0</v>
      </c>
    </row>
    <row r="193" spans="4:6" ht="12.75">
      <c r="D193" s="123" t="s">
        <v>439</v>
      </c>
      <c r="F193" s="22">
        <v>0.11232</v>
      </c>
    </row>
    <row r="194" spans="4:6" ht="12.75">
      <c r="D194" s="123" t="s">
        <v>440</v>
      </c>
      <c r="F194" s="22">
        <v>0.09504</v>
      </c>
    </row>
    <row r="195" spans="4:6" ht="12.75">
      <c r="D195" s="123" t="s">
        <v>441</v>
      </c>
      <c r="F195" s="22">
        <v>0.11232</v>
      </c>
    </row>
    <row r="196" spans="3:13" ht="25.5" customHeight="1">
      <c r="C196" s="17" t="s">
        <v>175</v>
      </c>
      <c r="D196" s="87" t="s">
        <v>442</v>
      </c>
      <c r="E196" s="88"/>
      <c r="F196" s="88"/>
      <c r="G196" s="88"/>
      <c r="H196" s="88"/>
      <c r="I196" s="88"/>
      <c r="J196" s="88"/>
      <c r="K196" s="88"/>
      <c r="L196" s="88"/>
      <c r="M196" s="88"/>
    </row>
    <row r="197" spans="1:62" ht="25.5">
      <c r="A197" s="7" t="s">
        <v>99</v>
      </c>
      <c r="B197" s="7" t="s">
        <v>136</v>
      </c>
      <c r="C197" s="7" t="s">
        <v>233</v>
      </c>
      <c r="D197" s="125" t="s">
        <v>443</v>
      </c>
      <c r="E197" s="7" t="s">
        <v>507</v>
      </c>
      <c r="F197" s="23">
        <v>0.08896</v>
      </c>
      <c r="G197" s="23">
        <v>0</v>
      </c>
      <c r="H197" s="23">
        <f>F197*AO197</f>
        <v>0</v>
      </c>
      <c r="I197" s="23">
        <f>F197*AP197</f>
        <v>0</v>
      </c>
      <c r="J197" s="23">
        <f>F197*G197</f>
        <v>0</v>
      </c>
      <c r="K197" s="23">
        <v>0.5</v>
      </c>
      <c r="L197" s="23">
        <f>F197*K197</f>
        <v>0.04448</v>
      </c>
      <c r="M197" s="35" t="s">
        <v>531</v>
      </c>
      <c r="Z197" s="38">
        <f>IF(AQ197="5",BJ197,0)</f>
        <v>0</v>
      </c>
      <c r="AB197" s="38">
        <f>IF(AQ197="1",BH197,0)</f>
        <v>0</v>
      </c>
      <c r="AC197" s="38">
        <f>IF(AQ197="1",BI197,0)</f>
        <v>0</v>
      </c>
      <c r="AD197" s="38">
        <f>IF(AQ197="7",BH197,0)</f>
        <v>0</v>
      </c>
      <c r="AE197" s="38">
        <f>IF(AQ197="7",BI197,0)</f>
        <v>0</v>
      </c>
      <c r="AF197" s="38">
        <f>IF(AQ197="2",BH197,0)</f>
        <v>0</v>
      </c>
      <c r="AG197" s="38">
        <f>IF(AQ197="2",BI197,0)</f>
        <v>0</v>
      </c>
      <c r="AH197" s="38">
        <f>IF(AQ197="0",BJ197,0)</f>
        <v>0</v>
      </c>
      <c r="AI197" s="30" t="s">
        <v>136</v>
      </c>
      <c r="AJ197" s="23">
        <f>IF(AN197=0,J197,0)</f>
        <v>0</v>
      </c>
      <c r="AK197" s="23">
        <f>IF(AN197=15,J197,0)</f>
        <v>0</v>
      </c>
      <c r="AL197" s="23">
        <f>IF(AN197=21,J197,0)</f>
        <v>0</v>
      </c>
      <c r="AN197" s="38">
        <v>15</v>
      </c>
      <c r="AO197" s="38">
        <f>G197*1</f>
        <v>0</v>
      </c>
      <c r="AP197" s="38">
        <f>G197*(1-1)</f>
        <v>0</v>
      </c>
      <c r="AQ197" s="35" t="s">
        <v>13</v>
      </c>
      <c r="AV197" s="38">
        <f>AW197+AX197</f>
        <v>0</v>
      </c>
      <c r="AW197" s="38">
        <f>F197*AO197</f>
        <v>0</v>
      </c>
      <c r="AX197" s="38">
        <f>F197*AP197</f>
        <v>0</v>
      </c>
      <c r="AY197" s="39" t="s">
        <v>557</v>
      </c>
      <c r="AZ197" s="39" t="s">
        <v>579</v>
      </c>
      <c r="BA197" s="30" t="s">
        <v>589</v>
      </c>
      <c r="BC197" s="38">
        <f>AW197+AX197</f>
        <v>0</v>
      </c>
      <c r="BD197" s="38">
        <f>G197/(100-BE197)*100</f>
        <v>0</v>
      </c>
      <c r="BE197" s="38">
        <v>0</v>
      </c>
      <c r="BF197" s="38">
        <f>L197</f>
        <v>0.04448</v>
      </c>
      <c r="BH197" s="23">
        <f>F197*AO197</f>
        <v>0</v>
      </c>
      <c r="BI197" s="23">
        <f>F197*AP197</f>
        <v>0</v>
      </c>
      <c r="BJ197" s="23">
        <f>F197*G197</f>
        <v>0</v>
      </c>
    </row>
    <row r="198" spans="4:6" ht="12.75">
      <c r="D198" s="123" t="s">
        <v>444</v>
      </c>
      <c r="F198" s="22">
        <v>0.056</v>
      </c>
    </row>
    <row r="199" spans="3:13" ht="25.5" customHeight="1">
      <c r="C199" s="17" t="s">
        <v>175</v>
      </c>
      <c r="D199" s="87" t="s">
        <v>442</v>
      </c>
      <c r="E199" s="88"/>
      <c r="F199" s="88"/>
      <c r="G199" s="88"/>
      <c r="H199" s="88"/>
      <c r="I199" s="88"/>
      <c r="J199" s="88"/>
      <c r="K199" s="88"/>
      <c r="L199" s="88"/>
      <c r="M199" s="88"/>
    </row>
    <row r="200" spans="1:62" ht="12.75">
      <c r="A200" s="7" t="s">
        <v>100</v>
      </c>
      <c r="B200" s="7" t="s">
        <v>136</v>
      </c>
      <c r="C200" s="7" t="s">
        <v>234</v>
      </c>
      <c r="D200" s="125" t="s">
        <v>445</v>
      </c>
      <c r="E200" s="7" t="s">
        <v>507</v>
      </c>
      <c r="F200" s="23">
        <v>0.69894</v>
      </c>
      <c r="G200" s="23">
        <v>0</v>
      </c>
      <c r="H200" s="23">
        <f>F200*AO200</f>
        <v>0</v>
      </c>
      <c r="I200" s="23">
        <f>F200*AP200</f>
        <v>0</v>
      </c>
      <c r="J200" s="23">
        <f>F200*G200</f>
        <v>0</v>
      </c>
      <c r="K200" s="23">
        <v>0.55</v>
      </c>
      <c r="L200" s="23">
        <f>F200*K200</f>
        <v>0.384417</v>
      </c>
      <c r="M200" s="35" t="s">
        <v>531</v>
      </c>
      <c r="Z200" s="38">
        <f>IF(AQ200="5",BJ200,0)</f>
        <v>0</v>
      </c>
      <c r="AB200" s="38">
        <f>IF(AQ200="1",BH200,0)</f>
        <v>0</v>
      </c>
      <c r="AC200" s="38">
        <f>IF(AQ200="1",BI200,0)</f>
        <v>0</v>
      </c>
      <c r="AD200" s="38">
        <f>IF(AQ200="7",BH200,0)</f>
        <v>0</v>
      </c>
      <c r="AE200" s="38">
        <f>IF(AQ200="7",BI200,0)</f>
        <v>0</v>
      </c>
      <c r="AF200" s="38">
        <f>IF(AQ200="2",BH200,0)</f>
        <v>0</v>
      </c>
      <c r="AG200" s="38">
        <f>IF(AQ200="2",BI200,0)</f>
        <v>0</v>
      </c>
      <c r="AH200" s="38">
        <f>IF(AQ200="0",BJ200,0)</f>
        <v>0</v>
      </c>
      <c r="AI200" s="30" t="s">
        <v>136</v>
      </c>
      <c r="AJ200" s="23">
        <f>IF(AN200=0,J200,0)</f>
        <v>0</v>
      </c>
      <c r="AK200" s="23">
        <f>IF(AN200=15,J200,0)</f>
        <v>0</v>
      </c>
      <c r="AL200" s="23">
        <f>IF(AN200=21,J200,0)</f>
        <v>0</v>
      </c>
      <c r="AN200" s="38">
        <v>15</v>
      </c>
      <c r="AO200" s="38">
        <f>G200*1</f>
        <v>0</v>
      </c>
      <c r="AP200" s="38">
        <f>G200*(1-1)</f>
        <v>0</v>
      </c>
      <c r="AQ200" s="35" t="s">
        <v>13</v>
      </c>
      <c r="AV200" s="38">
        <f>AW200+AX200</f>
        <v>0</v>
      </c>
      <c r="AW200" s="38">
        <f>F200*AO200</f>
        <v>0</v>
      </c>
      <c r="AX200" s="38">
        <f>F200*AP200</f>
        <v>0</v>
      </c>
      <c r="AY200" s="39" t="s">
        <v>557</v>
      </c>
      <c r="AZ200" s="39" t="s">
        <v>579</v>
      </c>
      <c r="BA200" s="30" t="s">
        <v>589</v>
      </c>
      <c r="BC200" s="38">
        <f>AW200+AX200</f>
        <v>0</v>
      </c>
      <c r="BD200" s="38">
        <f>G200/(100-BE200)*100</f>
        <v>0</v>
      </c>
      <c r="BE200" s="38">
        <v>0</v>
      </c>
      <c r="BF200" s="38">
        <f>L200</f>
        <v>0.384417</v>
      </c>
      <c r="BH200" s="23">
        <f>F200*AO200</f>
        <v>0</v>
      </c>
      <c r="BI200" s="23">
        <f>F200*AP200</f>
        <v>0</v>
      </c>
      <c r="BJ200" s="23">
        <f>F200*G200</f>
        <v>0</v>
      </c>
    </row>
    <row r="201" spans="4:6" ht="12.75">
      <c r="D201" s="123" t="s">
        <v>446</v>
      </c>
      <c r="F201" s="22">
        <v>0.14</v>
      </c>
    </row>
    <row r="202" spans="4:6" ht="12.75">
      <c r="D202" s="123" t="s">
        <v>447</v>
      </c>
      <c r="F202" s="22">
        <v>0.3</v>
      </c>
    </row>
    <row r="203" spans="1:62" ht="12.75">
      <c r="A203" s="5" t="s">
        <v>101</v>
      </c>
      <c r="B203" s="5" t="s">
        <v>136</v>
      </c>
      <c r="C203" s="5" t="s">
        <v>235</v>
      </c>
      <c r="D203" s="122" t="s">
        <v>448</v>
      </c>
      <c r="E203" s="5" t="s">
        <v>507</v>
      </c>
      <c r="F203" s="21">
        <v>3</v>
      </c>
      <c r="G203" s="21">
        <v>0</v>
      </c>
      <c r="H203" s="21">
        <f>F203*AO203</f>
        <v>0</v>
      </c>
      <c r="I203" s="21">
        <f>F203*AP203</f>
        <v>0</v>
      </c>
      <c r="J203" s="21">
        <f>F203*G203</f>
        <v>0</v>
      </c>
      <c r="K203" s="21">
        <v>0.0291</v>
      </c>
      <c r="L203" s="21">
        <f>F203*K203</f>
        <v>0.0873</v>
      </c>
      <c r="M203" s="34" t="s">
        <v>531</v>
      </c>
      <c r="Z203" s="38">
        <f>IF(AQ203="5",BJ203,0)</f>
        <v>0</v>
      </c>
      <c r="AB203" s="38">
        <f>IF(AQ203="1",BH203,0)</f>
        <v>0</v>
      </c>
      <c r="AC203" s="38">
        <f>IF(AQ203="1",BI203,0)</f>
        <v>0</v>
      </c>
      <c r="AD203" s="38">
        <f>IF(AQ203="7",BH203,0)</f>
        <v>0</v>
      </c>
      <c r="AE203" s="38">
        <f>IF(AQ203="7",BI203,0)</f>
        <v>0</v>
      </c>
      <c r="AF203" s="38">
        <f>IF(AQ203="2",BH203,0)</f>
        <v>0</v>
      </c>
      <c r="AG203" s="38">
        <f>IF(AQ203="2",BI203,0)</f>
        <v>0</v>
      </c>
      <c r="AH203" s="38">
        <f>IF(AQ203="0",BJ203,0)</f>
        <v>0</v>
      </c>
      <c r="AI203" s="30" t="s">
        <v>136</v>
      </c>
      <c r="AJ203" s="21">
        <f>IF(AN203=0,J203,0)</f>
        <v>0</v>
      </c>
      <c r="AK203" s="21">
        <f>IF(AN203=15,J203,0)</f>
        <v>0</v>
      </c>
      <c r="AL203" s="21">
        <f>IF(AN203=21,J203,0)</f>
        <v>0</v>
      </c>
      <c r="AN203" s="38">
        <v>15</v>
      </c>
      <c r="AO203" s="38">
        <f>G203*1</f>
        <v>0</v>
      </c>
      <c r="AP203" s="38">
        <f>G203*(1-1)</f>
        <v>0</v>
      </c>
      <c r="AQ203" s="34" t="s">
        <v>13</v>
      </c>
      <c r="AV203" s="38">
        <f>AW203+AX203</f>
        <v>0</v>
      </c>
      <c r="AW203" s="38">
        <f>F203*AO203</f>
        <v>0</v>
      </c>
      <c r="AX203" s="38">
        <f>F203*AP203</f>
        <v>0</v>
      </c>
      <c r="AY203" s="39" t="s">
        <v>557</v>
      </c>
      <c r="AZ203" s="39" t="s">
        <v>579</v>
      </c>
      <c r="BA203" s="30" t="s">
        <v>589</v>
      </c>
      <c r="BC203" s="38">
        <f>AW203+AX203</f>
        <v>0</v>
      </c>
      <c r="BD203" s="38">
        <f>G203/(100-BE203)*100</f>
        <v>0</v>
      </c>
      <c r="BE203" s="38">
        <v>0</v>
      </c>
      <c r="BF203" s="38">
        <f>L203</f>
        <v>0.0873</v>
      </c>
      <c r="BH203" s="21">
        <f>F203*AO203</f>
        <v>0</v>
      </c>
      <c r="BI203" s="21">
        <f>F203*AP203</f>
        <v>0</v>
      </c>
      <c r="BJ203" s="21">
        <f>F203*G203</f>
        <v>0</v>
      </c>
    </row>
    <row r="204" spans="1:47" ht="12.75">
      <c r="A204" s="4"/>
      <c r="B204" s="14" t="s">
        <v>136</v>
      </c>
      <c r="C204" s="14" t="s">
        <v>236</v>
      </c>
      <c r="D204" s="121" t="s">
        <v>449</v>
      </c>
      <c r="E204" s="4" t="s">
        <v>6</v>
      </c>
      <c r="F204" s="4" t="s">
        <v>6</v>
      </c>
      <c r="G204" s="4" t="s">
        <v>6</v>
      </c>
      <c r="H204" s="41">
        <f>SUM(H205:H212)</f>
        <v>0</v>
      </c>
      <c r="I204" s="41">
        <f>SUM(I205:I212)</f>
        <v>0</v>
      </c>
      <c r="J204" s="41">
        <f>SUM(J205:J212)</f>
        <v>0</v>
      </c>
      <c r="K204" s="30"/>
      <c r="L204" s="41">
        <f>SUM(L205:L212)</f>
        <v>0.21809300000000004</v>
      </c>
      <c r="M204" s="30"/>
      <c r="AI204" s="30" t="s">
        <v>136</v>
      </c>
      <c r="AS204" s="41">
        <f>SUM(AJ205:AJ212)</f>
        <v>0</v>
      </c>
      <c r="AT204" s="41">
        <f>SUM(AK205:AK212)</f>
        <v>0</v>
      </c>
      <c r="AU204" s="41">
        <f>SUM(AL205:AL212)</f>
        <v>0</v>
      </c>
    </row>
    <row r="205" spans="1:62" ht="12.75">
      <c r="A205" s="5" t="s">
        <v>102</v>
      </c>
      <c r="B205" s="5" t="s">
        <v>136</v>
      </c>
      <c r="C205" s="5" t="s">
        <v>237</v>
      </c>
      <c r="D205" s="122" t="s">
        <v>450</v>
      </c>
      <c r="E205" s="5" t="s">
        <v>510</v>
      </c>
      <c r="F205" s="21">
        <v>4</v>
      </c>
      <c r="G205" s="21">
        <v>0</v>
      </c>
      <c r="H205" s="21">
        <f>F205*AO205</f>
        <v>0</v>
      </c>
      <c r="I205" s="21">
        <f>F205*AP205</f>
        <v>0</v>
      </c>
      <c r="J205" s="21">
        <f>F205*G205</f>
        <v>0</v>
      </c>
      <c r="K205" s="21">
        <v>0.00205</v>
      </c>
      <c r="L205" s="21">
        <f>F205*K205</f>
        <v>0.0082</v>
      </c>
      <c r="M205" s="34" t="s">
        <v>531</v>
      </c>
      <c r="Z205" s="38">
        <f>IF(AQ205="5",BJ205,0)</f>
        <v>0</v>
      </c>
      <c r="AB205" s="38">
        <f>IF(AQ205="1",BH205,0)</f>
        <v>0</v>
      </c>
      <c r="AC205" s="38">
        <f>IF(AQ205="1",BI205,0)</f>
        <v>0</v>
      </c>
      <c r="AD205" s="38">
        <f>IF(AQ205="7",BH205,0)</f>
        <v>0</v>
      </c>
      <c r="AE205" s="38">
        <f>IF(AQ205="7",BI205,0)</f>
        <v>0</v>
      </c>
      <c r="AF205" s="38">
        <f>IF(AQ205="2",BH205,0)</f>
        <v>0</v>
      </c>
      <c r="AG205" s="38">
        <f>IF(AQ205="2",BI205,0)</f>
        <v>0</v>
      </c>
      <c r="AH205" s="38">
        <f>IF(AQ205="0",BJ205,0)</f>
        <v>0</v>
      </c>
      <c r="AI205" s="30" t="s">
        <v>136</v>
      </c>
      <c r="AJ205" s="21">
        <f>IF(AN205=0,J205,0)</f>
        <v>0</v>
      </c>
      <c r="AK205" s="21">
        <f>IF(AN205=15,J205,0)</f>
        <v>0</v>
      </c>
      <c r="AL205" s="21">
        <f>IF(AN205=21,J205,0)</f>
        <v>0</v>
      </c>
      <c r="AN205" s="38">
        <v>15</v>
      </c>
      <c r="AO205" s="38">
        <f>G205*0.706622222222222</f>
        <v>0</v>
      </c>
      <c r="AP205" s="38">
        <f>G205*(1-0.706622222222222)</f>
        <v>0</v>
      </c>
      <c r="AQ205" s="34" t="s">
        <v>13</v>
      </c>
      <c r="AV205" s="38">
        <f>AW205+AX205</f>
        <v>0</v>
      </c>
      <c r="AW205" s="38">
        <f>F205*AO205</f>
        <v>0</v>
      </c>
      <c r="AX205" s="38">
        <f>F205*AP205</f>
        <v>0</v>
      </c>
      <c r="AY205" s="39" t="s">
        <v>558</v>
      </c>
      <c r="AZ205" s="39" t="s">
        <v>579</v>
      </c>
      <c r="BA205" s="30" t="s">
        <v>589</v>
      </c>
      <c r="BC205" s="38">
        <f>AW205+AX205</f>
        <v>0</v>
      </c>
      <c r="BD205" s="38">
        <f>G205/(100-BE205)*100</f>
        <v>0</v>
      </c>
      <c r="BE205" s="38">
        <v>0</v>
      </c>
      <c r="BF205" s="38">
        <f>L205</f>
        <v>0.0082</v>
      </c>
      <c r="BH205" s="21">
        <f>F205*AO205</f>
        <v>0</v>
      </c>
      <c r="BI205" s="21">
        <f>F205*AP205</f>
        <v>0</v>
      </c>
      <c r="BJ205" s="21">
        <f>F205*G205</f>
        <v>0</v>
      </c>
    </row>
    <row r="206" ht="12.75">
      <c r="D206" s="18" t="s">
        <v>451</v>
      </c>
    </row>
    <row r="207" spans="1:62" ht="25.5">
      <c r="A207" s="5" t="s">
        <v>103</v>
      </c>
      <c r="B207" s="5" t="s">
        <v>136</v>
      </c>
      <c r="C207" s="5" t="s">
        <v>238</v>
      </c>
      <c r="D207" s="122" t="s">
        <v>452</v>
      </c>
      <c r="E207" s="5" t="s">
        <v>505</v>
      </c>
      <c r="F207" s="21">
        <v>32.2</v>
      </c>
      <c r="G207" s="21">
        <v>0</v>
      </c>
      <c r="H207" s="21">
        <f>F207*AO207</f>
        <v>0</v>
      </c>
      <c r="I207" s="21">
        <f>F207*AP207</f>
        <v>0</v>
      </c>
      <c r="J207" s="21">
        <f>F207*G207</f>
        <v>0</v>
      </c>
      <c r="K207" s="21">
        <v>0.00624</v>
      </c>
      <c r="L207" s="21">
        <f>F207*K207</f>
        <v>0.20092800000000002</v>
      </c>
      <c r="M207" s="34" t="s">
        <v>531</v>
      </c>
      <c r="Z207" s="38">
        <f>IF(AQ207="5",BJ207,0)</f>
        <v>0</v>
      </c>
      <c r="AB207" s="38">
        <f>IF(AQ207="1",BH207,0)</f>
        <v>0</v>
      </c>
      <c r="AC207" s="38">
        <f>IF(AQ207="1",BI207,0)</f>
        <v>0</v>
      </c>
      <c r="AD207" s="38">
        <f>IF(AQ207="7",BH207,0)</f>
        <v>0</v>
      </c>
      <c r="AE207" s="38">
        <f>IF(AQ207="7",BI207,0)</f>
        <v>0</v>
      </c>
      <c r="AF207" s="38">
        <f>IF(AQ207="2",BH207,0)</f>
        <v>0</v>
      </c>
      <c r="AG207" s="38">
        <f>IF(AQ207="2",BI207,0)</f>
        <v>0</v>
      </c>
      <c r="AH207" s="38">
        <f>IF(AQ207="0",BJ207,0)</f>
        <v>0</v>
      </c>
      <c r="AI207" s="30" t="s">
        <v>136</v>
      </c>
      <c r="AJ207" s="21">
        <f>IF(AN207=0,J207,0)</f>
        <v>0</v>
      </c>
      <c r="AK207" s="21">
        <f>IF(AN207=15,J207,0)</f>
        <v>0</v>
      </c>
      <c r="AL207" s="21">
        <f>IF(AN207=21,J207,0)</f>
        <v>0</v>
      </c>
      <c r="AN207" s="38">
        <v>15</v>
      </c>
      <c r="AO207" s="38">
        <f>G207*0.449952076677316</f>
        <v>0</v>
      </c>
      <c r="AP207" s="38">
        <f>G207*(1-0.449952076677316)</f>
        <v>0</v>
      </c>
      <c r="AQ207" s="34" t="s">
        <v>13</v>
      </c>
      <c r="AV207" s="38">
        <f>AW207+AX207</f>
        <v>0</v>
      </c>
      <c r="AW207" s="38">
        <f>F207*AO207</f>
        <v>0</v>
      </c>
      <c r="AX207" s="38">
        <f>F207*AP207</f>
        <v>0</v>
      </c>
      <c r="AY207" s="39" t="s">
        <v>558</v>
      </c>
      <c r="AZ207" s="39" t="s">
        <v>579</v>
      </c>
      <c r="BA207" s="30" t="s">
        <v>589</v>
      </c>
      <c r="BC207" s="38">
        <f>AW207+AX207</f>
        <v>0</v>
      </c>
      <c r="BD207" s="38">
        <f>G207/(100-BE207)*100</f>
        <v>0</v>
      </c>
      <c r="BE207" s="38">
        <v>0</v>
      </c>
      <c r="BF207" s="38">
        <f>L207</f>
        <v>0.20092800000000002</v>
      </c>
      <c r="BH207" s="21">
        <f>F207*AO207</f>
        <v>0</v>
      </c>
      <c r="BI207" s="21">
        <f>F207*AP207</f>
        <v>0</v>
      </c>
      <c r="BJ207" s="21">
        <f>F207*G207</f>
        <v>0</v>
      </c>
    </row>
    <row r="208" spans="4:6" ht="12.75">
      <c r="D208" s="123" t="s">
        <v>453</v>
      </c>
      <c r="F208" s="22">
        <v>11.2</v>
      </c>
    </row>
    <row r="209" spans="4:6" ht="12.75">
      <c r="D209" s="123" t="s">
        <v>454</v>
      </c>
      <c r="F209" s="22">
        <v>21</v>
      </c>
    </row>
    <row r="210" spans="1:62" ht="12.75">
      <c r="A210" s="5" t="s">
        <v>104</v>
      </c>
      <c r="B210" s="5" t="s">
        <v>136</v>
      </c>
      <c r="C210" s="5" t="s">
        <v>239</v>
      </c>
      <c r="D210" s="122" t="s">
        <v>455</v>
      </c>
      <c r="E210" s="5" t="s">
        <v>506</v>
      </c>
      <c r="F210" s="21">
        <v>1</v>
      </c>
      <c r="G210" s="21">
        <v>0</v>
      </c>
      <c r="H210" s="21">
        <f>F210*AO210</f>
        <v>0</v>
      </c>
      <c r="I210" s="21">
        <f>F210*AP210</f>
        <v>0</v>
      </c>
      <c r="J210" s="21">
        <f>F210*G210</f>
        <v>0</v>
      </c>
      <c r="K210" s="21">
        <v>0.00034</v>
      </c>
      <c r="L210" s="21">
        <f>F210*K210</f>
        <v>0.00034</v>
      </c>
      <c r="M210" s="34" t="s">
        <v>531</v>
      </c>
      <c r="Z210" s="38">
        <f>IF(AQ210="5",BJ210,0)</f>
        <v>0</v>
      </c>
      <c r="AB210" s="38">
        <f>IF(AQ210="1",BH210,0)</f>
        <v>0</v>
      </c>
      <c r="AC210" s="38">
        <f>IF(AQ210="1",BI210,0)</f>
        <v>0</v>
      </c>
      <c r="AD210" s="38">
        <f>IF(AQ210="7",BH210,0)</f>
        <v>0</v>
      </c>
      <c r="AE210" s="38">
        <f>IF(AQ210="7",BI210,0)</f>
        <v>0</v>
      </c>
      <c r="AF210" s="38">
        <f>IF(AQ210="2",BH210,0)</f>
        <v>0</v>
      </c>
      <c r="AG210" s="38">
        <f>IF(AQ210="2",BI210,0)</f>
        <v>0</v>
      </c>
      <c r="AH210" s="38">
        <f>IF(AQ210="0",BJ210,0)</f>
        <v>0</v>
      </c>
      <c r="AI210" s="30" t="s">
        <v>136</v>
      </c>
      <c r="AJ210" s="21">
        <f>IF(AN210=0,J210,0)</f>
        <v>0</v>
      </c>
      <c r="AK210" s="21">
        <f>IF(AN210=15,J210,0)</f>
        <v>0</v>
      </c>
      <c r="AL210" s="21">
        <f>IF(AN210=21,J210,0)</f>
        <v>0</v>
      </c>
      <c r="AN210" s="38">
        <v>15</v>
      </c>
      <c r="AO210" s="38">
        <f>G210*0.534551645856981</f>
        <v>0</v>
      </c>
      <c r="AP210" s="38">
        <f>G210*(1-0.534551645856981)</f>
        <v>0</v>
      </c>
      <c r="AQ210" s="34" t="s">
        <v>13</v>
      </c>
      <c r="AV210" s="38">
        <f>AW210+AX210</f>
        <v>0</v>
      </c>
      <c r="AW210" s="38">
        <f>F210*AO210</f>
        <v>0</v>
      </c>
      <c r="AX210" s="38">
        <f>F210*AP210</f>
        <v>0</v>
      </c>
      <c r="AY210" s="39" t="s">
        <v>558</v>
      </c>
      <c r="AZ210" s="39" t="s">
        <v>579</v>
      </c>
      <c r="BA210" s="30" t="s">
        <v>589</v>
      </c>
      <c r="BC210" s="38">
        <f>AW210+AX210</f>
        <v>0</v>
      </c>
      <c r="BD210" s="38">
        <f>G210/(100-BE210)*100</f>
        <v>0</v>
      </c>
      <c r="BE210" s="38">
        <v>0</v>
      </c>
      <c r="BF210" s="38">
        <f>L210</f>
        <v>0.00034</v>
      </c>
      <c r="BH210" s="21">
        <f>F210*AO210</f>
        <v>0</v>
      </c>
      <c r="BI210" s="21">
        <f>F210*AP210</f>
        <v>0</v>
      </c>
      <c r="BJ210" s="21">
        <f>F210*G210</f>
        <v>0</v>
      </c>
    </row>
    <row r="211" ht="12.75">
      <c r="D211" s="18" t="s">
        <v>451</v>
      </c>
    </row>
    <row r="212" spans="1:62" ht="12.75">
      <c r="A212" s="5" t="s">
        <v>105</v>
      </c>
      <c r="B212" s="5" t="s">
        <v>136</v>
      </c>
      <c r="C212" s="5" t="s">
        <v>240</v>
      </c>
      <c r="D212" s="122" t="s">
        <v>456</v>
      </c>
      <c r="E212" s="5" t="s">
        <v>510</v>
      </c>
      <c r="F212" s="21">
        <v>2.5</v>
      </c>
      <c r="G212" s="21">
        <v>0</v>
      </c>
      <c r="H212" s="21">
        <f>F212*AO212</f>
        <v>0</v>
      </c>
      <c r="I212" s="21">
        <f>F212*AP212</f>
        <v>0</v>
      </c>
      <c r="J212" s="21">
        <f>F212*G212</f>
        <v>0</v>
      </c>
      <c r="K212" s="21">
        <v>0.00345</v>
      </c>
      <c r="L212" s="21">
        <f>F212*K212</f>
        <v>0.008625</v>
      </c>
      <c r="M212" s="34" t="s">
        <v>531</v>
      </c>
      <c r="Z212" s="38">
        <f>IF(AQ212="5",BJ212,0)</f>
        <v>0</v>
      </c>
      <c r="AB212" s="38">
        <f>IF(AQ212="1",BH212,0)</f>
        <v>0</v>
      </c>
      <c r="AC212" s="38">
        <f>IF(AQ212="1",BI212,0)</f>
        <v>0</v>
      </c>
      <c r="AD212" s="38">
        <f>IF(AQ212="7",BH212,0)</f>
        <v>0</v>
      </c>
      <c r="AE212" s="38">
        <f>IF(AQ212="7",BI212,0)</f>
        <v>0</v>
      </c>
      <c r="AF212" s="38">
        <f>IF(AQ212="2",BH212,0)</f>
        <v>0</v>
      </c>
      <c r="AG212" s="38">
        <f>IF(AQ212="2",BI212,0)</f>
        <v>0</v>
      </c>
      <c r="AH212" s="38">
        <f>IF(AQ212="0",BJ212,0)</f>
        <v>0</v>
      </c>
      <c r="AI212" s="30" t="s">
        <v>136</v>
      </c>
      <c r="AJ212" s="21">
        <f>IF(AN212=0,J212,0)</f>
        <v>0</v>
      </c>
      <c r="AK212" s="21">
        <f>IF(AN212=15,J212,0)</f>
        <v>0</v>
      </c>
      <c r="AL212" s="21">
        <f>IF(AN212=21,J212,0)</f>
        <v>0</v>
      </c>
      <c r="AN212" s="38">
        <v>15</v>
      </c>
      <c r="AO212" s="38">
        <f>G212*0.837186602870813</f>
        <v>0</v>
      </c>
      <c r="AP212" s="38">
        <f>G212*(1-0.837186602870813)</f>
        <v>0</v>
      </c>
      <c r="AQ212" s="34" t="s">
        <v>13</v>
      </c>
      <c r="AV212" s="38">
        <f>AW212+AX212</f>
        <v>0</v>
      </c>
      <c r="AW212" s="38">
        <f>F212*AO212</f>
        <v>0</v>
      </c>
      <c r="AX212" s="38">
        <f>F212*AP212</f>
        <v>0</v>
      </c>
      <c r="AY212" s="39" t="s">
        <v>558</v>
      </c>
      <c r="AZ212" s="39" t="s">
        <v>579</v>
      </c>
      <c r="BA212" s="30" t="s">
        <v>589</v>
      </c>
      <c r="BC212" s="38">
        <f>AW212+AX212</f>
        <v>0</v>
      </c>
      <c r="BD212" s="38">
        <f>G212/(100-BE212)*100</f>
        <v>0</v>
      </c>
      <c r="BE212" s="38">
        <v>0</v>
      </c>
      <c r="BF212" s="38">
        <f>L212</f>
        <v>0.008625</v>
      </c>
      <c r="BH212" s="21">
        <f>F212*AO212</f>
        <v>0</v>
      </c>
      <c r="BI212" s="21">
        <f>F212*AP212</f>
        <v>0</v>
      </c>
      <c r="BJ212" s="21">
        <f>F212*G212</f>
        <v>0</v>
      </c>
    </row>
    <row r="213" ht="12.75">
      <c r="D213" s="18" t="s">
        <v>451</v>
      </c>
    </row>
    <row r="214" spans="1:47" ht="12.75">
      <c r="A214" s="4"/>
      <c r="B214" s="14" t="s">
        <v>136</v>
      </c>
      <c r="C214" s="14" t="s">
        <v>241</v>
      </c>
      <c r="D214" s="121" t="s">
        <v>457</v>
      </c>
      <c r="E214" s="4" t="s">
        <v>6</v>
      </c>
      <c r="F214" s="4" t="s">
        <v>6</v>
      </c>
      <c r="G214" s="4" t="s">
        <v>6</v>
      </c>
      <c r="H214" s="41">
        <f>SUM(H215:H227)</f>
        <v>0</v>
      </c>
      <c r="I214" s="41">
        <f>SUM(I215:I227)</f>
        <v>0</v>
      </c>
      <c r="J214" s="41">
        <f>SUM(J215:J227)</f>
        <v>0</v>
      </c>
      <c r="K214" s="30"/>
      <c r="L214" s="41">
        <f>SUM(L215:L227)</f>
        <v>0.902518</v>
      </c>
      <c r="M214" s="30"/>
      <c r="AI214" s="30" t="s">
        <v>136</v>
      </c>
      <c r="AS214" s="41">
        <f>SUM(AJ215:AJ227)</f>
        <v>0</v>
      </c>
      <c r="AT214" s="41">
        <f>SUM(AK215:AK227)</f>
        <v>0</v>
      </c>
      <c r="AU214" s="41">
        <f>SUM(AL215:AL227)</f>
        <v>0</v>
      </c>
    </row>
    <row r="215" spans="1:62" ht="12.75">
      <c r="A215" s="5" t="s">
        <v>106</v>
      </c>
      <c r="B215" s="5" t="s">
        <v>136</v>
      </c>
      <c r="C215" s="5" t="s">
        <v>242</v>
      </c>
      <c r="D215" s="122" t="s">
        <v>458</v>
      </c>
      <c r="E215" s="5" t="s">
        <v>505</v>
      </c>
      <c r="F215" s="21">
        <v>8.6</v>
      </c>
      <c r="G215" s="21">
        <v>0</v>
      </c>
      <c r="H215" s="21">
        <f>F215*AO215</f>
        <v>0</v>
      </c>
      <c r="I215" s="21">
        <f>F215*AP215</f>
        <v>0</v>
      </c>
      <c r="J215" s="21">
        <f>F215*G215</f>
        <v>0</v>
      </c>
      <c r="K215" s="21">
        <v>0.01473</v>
      </c>
      <c r="L215" s="21">
        <f>F215*K215</f>
        <v>0.12667799999999999</v>
      </c>
      <c r="M215" s="34" t="s">
        <v>531</v>
      </c>
      <c r="Z215" s="38">
        <f>IF(AQ215="5",BJ215,0)</f>
        <v>0</v>
      </c>
      <c r="AB215" s="38">
        <f>IF(AQ215="1",BH215,0)</f>
        <v>0</v>
      </c>
      <c r="AC215" s="38">
        <f>IF(AQ215="1",BI215,0)</f>
        <v>0</v>
      </c>
      <c r="AD215" s="38">
        <f>IF(AQ215="7",BH215,0)</f>
        <v>0</v>
      </c>
      <c r="AE215" s="38">
        <f>IF(AQ215="7",BI215,0)</f>
        <v>0</v>
      </c>
      <c r="AF215" s="38">
        <f>IF(AQ215="2",BH215,0)</f>
        <v>0</v>
      </c>
      <c r="AG215" s="38">
        <f>IF(AQ215="2",BI215,0)</f>
        <v>0</v>
      </c>
      <c r="AH215" s="38">
        <f>IF(AQ215="0",BJ215,0)</f>
        <v>0</v>
      </c>
      <c r="AI215" s="30" t="s">
        <v>136</v>
      </c>
      <c r="AJ215" s="21">
        <f>IF(AN215=0,J215,0)</f>
        <v>0</v>
      </c>
      <c r="AK215" s="21">
        <f>IF(AN215=15,J215,0)</f>
        <v>0</v>
      </c>
      <c r="AL215" s="21">
        <f>IF(AN215=21,J215,0)</f>
        <v>0</v>
      </c>
      <c r="AN215" s="38">
        <v>15</v>
      </c>
      <c r="AO215" s="38">
        <f>G215*0.408540447324415</f>
        <v>0</v>
      </c>
      <c r="AP215" s="38">
        <f>G215*(1-0.408540447324415)</f>
        <v>0</v>
      </c>
      <c r="AQ215" s="34" t="s">
        <v>13</v>
      </c>
      <c r="AV215" s="38">
        <f>AW215+AX215</f>
        <v>0</v>
      </c>
      <c r="AW215" s="38">
        <f>F215*AO215</f>
        <v>0</v>
      </c>
      <c r="AX215" s="38">
        <f>F215*AP215</f>
        <v>0</v>
      </c>
      <c r="AY215" s="39" t="s">
        <v>559</v>
      </c>
      <c r="AZ215" s="39" t="s">
        <v>579</v>
      </c>
      <c r="BA215" s="30" t="s">
        <v>589</v>
      </c>
      <c r="BC215" s="38">
        <f>AW215+AX215</f>
        <v>0</v>
      </c>
      <c r="BD215" s="38">
        <f>G215/(100-BE215)*100</f>
        <v>0</v>
      </c>
      <c r="BE215" s="38">
        <v>0</v>
      </c>
      <c r="BF215" s="38">
        <f>L215</f>
        <v>0.12667799999999999</v>
      </c>
      <c r="BH215" s="21">
        <f>F215*AO215</f>
        <v>0</v>
      </c>
      <c r="BI215" s="21">
        <f>F215*AP215</f>
        <v>0</v>
      </c>
      <c r="BJ215" s="21">
        <f>F215*G215</f>
        <v>0</v>
      </c>
    </row>
    <row r="216" ht="12.75">
      <c r="D216" s="18" t="s">
        <v>459</v>
      </c>
    </row>
    <row r="217" spans="1:62" ht="12.75">
      <c r="A217" s="5" t="s">
        <v>107</v>
      </c>
      <c r="B217" s="5" t="s">
        <v>136</v>
      </c>
      <c r="C217" s="5" t="s">
        <v>243</v>
      </c>
      <c r="D217" s="122" t="s">
        <v>460</v>
      </c>
      <c r="E217" s="5" t="s">
        <v>505</v>
      </c>
      <c r="F217" s="21">
        <v>12</v>
      </c>
      <c r="G217" s="21">
        <v>0</v>
      </c>
      <c r="H217" s="21">
        <f>F217*AO217</f>
        <v>0</v>
      </c>
      <c r="I217" s="21">
        <f>F217*AP217</f>
        <v>0</v>
      </c>
      <c r="J217" s="21">
        <f>F217*G217</f>
        <v>0</v>
      </c>
      <c r="K217" s="21">
        <v>0.015</v>
      </c>
      <c r="L217" s="21">
        <f>F217*K217</f>
        <v>0.18</v>
      </c>
      <c r="M217" s="34" t="s">
        <v>531</v>
      </c>
      <c r="Z217" s="38">
        <f>IF(AQ217="5",BJ217,0)</f>
        <v>0</v>
      </c>
      <c r="AB217" s="38">
        <f>IF(AQ217="1",BH217,0)</f>
        <v>0</v>
      </c>
      <c r="AC217" s="38">
        <f>IF(AQ217="1",BI217,0)</f>
        <v>0</v>
      </c>
      <c r="AD217" s="38">
        <f>IF(AQ217="7",BH217,0)</f>
        <v>0</v>
      </c>
      <c r="AE217" s="38">
        <f>IF(AQ217="7",BI217,0)</f>
        <v>0</v>
      </c>
      <c r="AF217" s="38">
        <f>IF(AQ217="2",BH217,0)</f>
        <v>0</v>
      </c>
      <c r="AG217" s="38">
        <f>IF(AQ217="2",BI217,0)</f>
        <v>0</v>
      </c>
      <c r="AH217" s="38">
        <f>IF(AQ217="0",BJ217,0)</f>
        <v>0</v>
      </c>
      <c r="AI217" s="30" t="s">
        <v>136</v>
      </c>
      <c r="AJ217" s="21">
        <f>IF(AN217=0,J217,0)</f>
        <v>0</v>
      </c>
      <c r="AK217" s="21">
        <f>IF(AN217=15,J217,0)</f>
        <v>0</v>
      </c>
      <c r="AL217" s="21">
        <f>IF(AN217=21,J217,0)</f>
        <v>0</v>
      </c>
      <c r="AN217" s="38">
        <v>15</v>
      </c>
      <c r="AO217" s="38">
        <f>G217*0.392322484936173</f>
        <v>0</v>
      </c>
      <c r="AP217" s="38">
        <f>G217*(1-0.392322484936173)</f>
        <v>0</v>
      </c>
      <c r="AQ217" s="34" t="s">
        <v>13</v>
      </c>
      <c r="AV217" s="38">
        <f>AW217+AX217</f>
        <v>0</v>
      </c>
      <c r="AW217" s="38">
        <f>F217*AO217</f>
        <v>0</v>
      </c>
      <c r="AX217" s="38">
        <f>F217*AP217</f>
        <v>0</v>
      </c>
      <c r="AY217" s="39" t="s">
        <v>559</v>
      </c>
      <c r="AZ217" s="39" t="s">
        <v>579</v>
      </c>
      <c r="BA217" s="30" t="s">
        <v>589</v>
      </c>
      <c r="BC217" s="38">
        <f>AW217+AX217</f>
        <v>0</v>
      </c>
      <c r="BD217" s="38">
        <f>G217/(100-BE217)*100</f>
        <v>0</v>
      </c>
      <c r="BE217" s="38">
        <v>0</v>
      </c>
      <c r="BF217" s="38">
        <f>L217</f>
        <v>0.18</v>
      </c>
      <c r="BH217" s="21">
        <f>F217*AO217</f>
        <v>0</v>
      </c>
      <c r="BI217" s="21">
        <f>F217*AP217</f>
        <v>0</v>
      </c>
      <c r="BJ217" s="21">
        <f>F217*G217</f>
        <v>0</v>
      </c>
    </row>
    <row r="218" ht="12.75">
      <c r="D218" s="18" t="s">
        <v>459</v>
      </c>
    </row>
    <row r="219" spans="1:62" ht="25.5">
      <c r="A219" s="5" t="s">
        <v>108</v>
      </c>
      <c r="B219" s="5" t="s">
        <v>136</v>
      </c>
      <c r="C219" s="5" t="s">
        <v>244</v>
      </c>
      <c r="D219" s="122" t="s">
        <v>461</v>
      </c>
      <c r="E219" s="5" t="s">
        <v>505</v>
      </c>
      <c r="F219" s="21">
        <v>25</v>
      </c>
      <c r="G219" s="21">
        <v>0</v>
      </c>
      <c r="H219" s="21">
        <f>F219*AO219</f>
        <v>0</v>
      </c>
      <c r="I219" s="21">
        <f>F219*AP219</f>
        <v>0</v>
      </c>
      <c r="J219" s="21">
        <f>F219*G219</f>
        <v>0</v>
      </c>
      <c r="K219" s="21">
        <v>0.00025</v>
      </c>
      <c r="L219" s="21">
        <f>F219*K219</f>
        <v>0.00625</v>
      </c>
      <c r="M219" s="34" t="s">
        <v>531</v>
      </c>
      <c r="Z219" s="38">
        <f>IF(AQ219="5",BJ219,0)</f>
        <v>0</v>
      </c>
      <c r="AB219" s="38">
        <f>IF(AQ219="1",BH219,0)</f>
        <v>0</v>
      </c>
      <c r="AC219" s="38">
        <f>IF(AQ219="1",BI219,0)</f>
        <v>0</v>
      </c>
      <c r="AD219" s="38">
        <f>IF(AQ219="7",BH219,0)</f>
        <v>0</v>
      </c>
      <c r="AE219" s="38">
        <f>IF(AQ219="7",BI219,0)</f>
        <v>0</v>
      </c>
      <c r="AF219" s="38">
        <f>IF(AQ219="2",BH219,0)</f>
        <v>0</v>
      </c>
      <c r="AG219" s="38">
        <f>IF(AQ219="2",BI219,0)</f>
        <v>0</v>
      </c>
      <c r="AH219" s="38">
        <f>IF(AQ219="0",BJ219,0)</f>
        <v>0</v>
      </c>
      <c r="AI219" s="30" t="s">
        <v>136</v>
      </c>
      <c r="AJ219" s="21">
        <f>IF(AN219=0,J219,0)</f>
        <v>0</v>
      </c>
      <c r="AK219" s="21">
        <f>IF(AN219=15,J219,0)</f>
        <v>0</v>
      </c>
      <c r="AL219" s="21">
        <f>IF(AN219=21,J219,0)</f>
        <v>0</v>
      </c>
      <c r="AN219" s="38">
        <v>15</v>
      </c>
      <c r="AO219" s="38">
        <f>G219*0.227039390088945</f>
        <v>0</v>
      </c>
      <c r="AP219" s="38">
        <f>G219*(1-0.227039390088945)</f>
        <v>0</v>
      </c>
      <c r="AQ219" s="34" t="s">
        <v>13</v>
      </c>
      <c r="AV219" s="38">
        <f>AW219+AX219</f>
        <v>0</v>
      </c>
      <c r="AW219" s="38">
        <f>F219*AO219</f>
        <v>0</v>
      </c>
      <c r="AX219" s="38">
        <f>F219*AP219</f>
        <v>0</v>
      </c>
      <c r="AY219" s="39" t="s">
        <v>559</v>
      </c>
      <c r="AZ219" s="39" t="s">
        <v>579</v>
      </c>
      <c r="BA219" s="30" t="s">
        <v>589</v>
      </c>
      <c r="BC219" s="38">
        <f>AW219+AX219</f>
        <v>0</v>
      </c>
      <c r="BD219" s="38">
        <f>G219/(100-BE219)*100</f>
        <v>0</v>
      </c>
      <c r="BE219" s="38">
        <v>0</v>
      </c>
      <c r="BF219" s="38">
        <f>L219</f>
        <v>0.00625</v>
      </c>
      <c r="BH219" s="21">
        <f>F219*AO219</f>
        <v>0</v>
      </c>
      <c r="BI219" s="21">
        <f>F219*AP219</f>
        <v>0</v>
      </c>
      <c r="BJ219" s="21">
        <f>F219*G219</f>
        <v>0</v>
      </c>
    </row>
    <row r="220" spans="1:62" ht="12.75">
      <c r="A220" s="7" t="s">
        <v>109</v>
      </c>
      <c r="B220" s="7" t="s">
        <v>136</v>
      </c>
      <c r="C220" s="7" t="s">
        <v>245</v>
      </c>
      <c r="D220" s="125" t="s">
        <v>462</v>
      </c>
      <c r="E220" s="7" t="s">
        <v>510</v>
      </c>
      <c r="F220" s="23">
        <v>45</v>
      </c>
      <c r="G220" s="23">
        <v>0</v>
      </c>
      <c r="H220" s="23">
        <f>F220*AO220</f>
        <v>0</v>
      </c>
      <c r="I220" s="23">
        <f>F220*AP220</f>
        <v>0</v>
      </c>
      <c r="J220" s="23">
        <f>F220*G220</f>
        <v>0</v>
      </c>
      <c r="K220" s="23">
        <v>0.0021</v>
      </c>
      <c r="L220" s="23">
        <f>F220*K220</f>
        <v>0.0945</v>
      </c>
      <c r="M220" s="35" t="s">
        <v>531</v>
      </c>
      <c r="Z220" s="38">
        <f>IF(AQ220="5",BJ220,0)</f>
        <v>0</v>
      </c>
      <c r="AB220" s="38">
        <f>IF(AQ220="1",BH220,0)</f>
        <v>0</v>
      </c>
      <c r="AC220" s="38">
        <f>IF(AQ220="1",BI220,0)</f>
        <v>0</v>
      </c>
      <c r="AD220" s="38">
        <f>IF(AQ220="7",BH220,0)</f>
        <v>0</v>
      </c>
      <c r="AE220" s="38">
        <f>IF(AQ220="7",BI220,0)</f>
        <v>0</v>
      </c>
      <c r="AF220" s="38">
        <f>IF(AQ220="2",BH220,0)</f>
        <v>0</v>
      </c>
      <c r="AG220" s="38">
        <f>IF(AQ220="2",BI220,0)</f>
        <v>0</v>
      </c>
      <c r="AH220" s="38">
        <f>IF(AQ220="0",BJ220,0)</f>
        <v>0</v>
      </c>
      <c r="AI220" s="30" t="s">
        <v>136</v>
      </c>
      <c r="AJ220" s="23">
        <f>IF(AN220=0,J220,0)</f>
        <v>0</v>
      </c>
      <c r="AK220" s="23">
        <f>IF(AN220=15,J220,0)</f>
        <v>0</v>
      </c>
      <c r="AL220" s="23">
        <f>IF(AN220=21,J220,0)</f>
        <v>0</v>
      </c>
      <c r="AN220" s="38">
        <v>15</v>
      </c>
      <c r="AO220" s="38">
        <f>G220*1</f>
        <v>0</v>
      </c>
      <c r="AP220" s="38">
        <f>G220*(1-1)</f>
        <v>0</v>
      </c>
      <c r="AQ220" s="35" t="s">
        <v>13</v>
      </c>
      <c r="AV220" s="38">
        <f>AW220+AX220</f>
        <v>0</v>
      </c>
      <c r="AW220" s="38">
        <f>F220*AO220</f>
        <v>0</v>
      </c>
      <c r="AX220" s="38">
        <f>F220*AP220</f>
        <v>0</v>
      </c>
      <c r="AY220" s="39" t="s">
        <v>559</v>
      </c>
      <c r="AZ220" s="39" t="s">
        <v>579</v>
      </c>
      <c r="BA220" s="30" t="s">
        <v>589</v>
      </c>
      <c r="BC220" s="38">
        <f>AW220+AX220</f>
        <v>0</v>
      </c>
      <c r="BD220" s="38">
        <f>G220/(100-BE220)*100</f>
        <v>0</v>
      </c>
      <c r="BE220" s="38">
        <v>0</v>
      </c>
      <c r="BF220" s="38">
        <f>L220</f>
        <v>0.0945</v>
      </c>
      <c r="BH220" s="23">
        <f>F220*AO220</f>
        <v>0</v>
      </c>
      <c r="BI220" s="23">
        <f>F220*AP220</f>
        <v>0</v>
      </c>
      <c r="BJ220" s="23">
        <f>F220*G220</f>
        <v>0</v>
      </c>
    </row>
    <row r="221" spans="3:13" ht="12.75">
      <c r="C221" s="17" t="s">
        <v>175</v>
      </c>
      <c r="D221" s="87" t="s">
        <v>463</v>
      </c>
      <c r="E221" s="88"/>
      <c r="F221" s="88"/>
      <c r="G221" s="88"/>
      <c r="H221" s="88"/>
      <c r="I221" s="88"/>
      <c r="J221" s="88"/>
      <c r="K221" s="88"/>
      <c r="L221" s="88"/>
      <c r="M221" s="88"/>
    </row>
    <row r="222" spans="1:62" ht="25.5">
      <c r="A222" s="7" t="s">
        <v>110</v>
      </c>
      <c r="B222" s="7" t="s">
        <v>136</v>
      </c>
      <c r="C222" s="7" t="s">
        <v>246</v>
      </c>
      <c r="D222" s="125" t="s">
        <v>464</v>
      </c>
      <c r="E222" s="7" t="s">
        <v>505</v>
      </c>
      <c r="F222" s="23">
        <v>27.5</v>
      </c>
      <c r="G222" s="23"/>
      <c r="H222" s="23">
        <f>F222*AO222</f>
        <v>0</v>
      </c>
      <c r="I222" s="23">
        <f>F222*AP222</f>
        <v>0</v>
      </c>
      <c r="J222" s="23">
        <f>F222*G222</f>
        <v>0</v>
      </c>
      <c r="K222" s="23">
        <v>0.018</v>
      </c>
      <c r="L222" s="23">
        <f>F222*K222</f>
        <v>0.49499999999999994</v>
      </c>
      <c r="M222" s="35" t="s">
        <v>531</v>
      </c>
      <c r="Z222" s="38">
        <f>IF(AQ222="5",BJ222,0)</f>
        <v>0</v>
      </c>
      <c r="AB222" s="38">
        <f>IF(AQ222="1",BH222,0)</f>
        <v>0</v>
      </c>
      <c r="AC222" s="38">
        <f>IF(AQ222="1",BI222,0)</f>
        <v>0</v>
      </c>
      <c r="AD222" s="38">
        <f>IF(AQ222="7",BH222,0)</f>
        <v>0</v>
      </c>
      <c r="AE222" s="38">
        <f>IF(AQ222="7",BI222,0)</f>
        <v>0</v>
      </c>
      <c r="AF222" s="38">
        <f>IF(AQ222="2",BH222,0)</f>
        <v>0</v>
      </c>
      <c r="AG222" s="38">
        <f>IF(AQ222="2",BI222,0)</f>
        <v>0</v>
      </c>
      <c r="AH222" s="38">
        <f>IF(AQ222="0",BJ222,0)</f>
        <v>0</v>
      </c>
      <c r="AI222" s="30" t="s">
        <v>136</v>
      </c>
      <c r="AJ222" s="23">
        <f>IF(AN222=0,J222,0)</f>
        <v>0</v>
      </c>
      <c r="AK222" s="23">
        <f>IF(AN222=15,J222,0)</f>
        <v>0</v>
      </c>
      <c r="AL222" s="23">
        <f>IF(AN222=21,J222,0)</f>
        <v>0</v>
      </c>
      <c r="AN222" s="38">
        <v>15</v>
      </c>
      <c r="AO222" s="38">
        <f>G222*1</f>
        <v>0</v>
      </c>
      <c r="AP222" s="38">
        <f>G222*(1-1)</f>
        <v>0</v>
      </c>
      <c r="AQ222" s="35" t="s">
        <v>13</v>
      </c>
      <c r="AV222" s="38">
        <f>AW222+AX222</f>
        <v>0</v>
      </c>
      <c r="AW222" s="38">
        <f>F222*AO222</f>
        <v>0</v>
      </c>
      <c r="AX222" s="38">
        <f>F222*AP222</f>
        <v>0</v>
      </c>
      <c r="AY222" s="39" t="s">
        <v>559</v>
      </c>
      <c r="AZ222" s="39" t="s">
        <v>579</v>
      </c>
      <c r="BA222" s="30" t="s">
        <v>589</v>
      </c>
      <c r="BC222" s="38">
        <f>AW222+AX222</f>
        <v>0</v>
      </c>
      <c r="BD222" s="38">
        <f>G222/(100-BE222)*100</f>
        <v>0</v>
      </c>
      <c r="BE222" s="38">
        <v>0</v>
      </c>
      <c r="BF222" s="38">
        <f>L222</f>
        <v>0.49499999999999994</v>
      </c>
      <c r="BH222" s="23">
        <f>F222*AO222</f>
        <v>0</v>
      </c>
      <c r="BI222" s="23">
        <f>F222*AP222</f>
        <v>0</v>
      </c>
      <c r="BJ222" s="23">
        <f>F222*G222</f>
        <v>0</v>
      </c>
    </row>
    <row r="223" spans="4:6" ht="12.75">
      <c r="D223" s="123" t="s">
        <v>465</v>
      </c>
      <c r="F223" s="22">
        <v>25</v>
      </c>
    </row>
    <row r="224" spans="4:6" ht="12.75">
      <c r="D224" s="123" t="s">
        <v>466</v>
      </c>
      <c r="F224" s="22">
        <v>2.5</v>
      </c>
    </row>
    <row r="225" spans="3:13" ht="12.75">
      <c r="C225" s="17" t="s">
        <v>175</v>
      </c>
      <c r="D225" s="87" t="s">
        <v>467</v>
      </c>
      <c r="E225" s="88"/>
      <c r="F225" s="88"/>
      <c r="G225" s="88"/>
      <c r="H225" s="88"/>
      <c r="I225" s="88"/>
      <c r="J225" s="88"/>
      <c r="K225" s="88"/>
      <c r="L225" s="88"/>
      <c r="M225" s="88"/>
    </row>
    <row r="226" spans="1:62" ht="25.5">
      <c r="A226" s="5" t="s">
        <v>111</v>
      </c>
      <c r="B226" s="5" t="s">
        <v>136</v>
      </c>
      <c r="C226" s="5" t="s">
        <v>247</v>
      </c>
      <c r="D226" s="122" t="s">
        <v>468</v>
      </c>
      <c r="E226" s="5" t="s">
        <v>506</v>
      </c>
      <c r="F226" s="21">
        <v>3</v>
      </c>
      <c r="G226" s="21">
        <v>0</v>
      </c>
      <c r="H226" s="21">
        <f>F226*AO226</f>
        <v>0</v>
      </c>
      <c r="I226" s="21">
        <f>F226*AP226</f>
        <v>0</v>
      </c>
      <c r="J226" s="21">
        <f>F226*G226</f>
        <v>0</v>
      </c>
      <c r="K226" s="21">
        <v>3E-05</v>
      </c>
      <c r="L226" s="21">
        <f>F226*K226</f>
        <v>9E-05</v>
      </c>
      <c r="M226" s="34" t="s">
        <v>531</v>
      </c>
      <c r="Z226" s="38">
        <f>IF(AQ226="5",BJ226,0)</f>
        <v>0</v>
      </c>
      <c r="AB226" s="38">
        <f>IF(AQ226="1",BH226,0)</f>
        <v>0</v>
      </c>
      <c r="AC226" s="38">
        <f>IF(AQ226="1",BI226,0)</f>
        <v>0</v>
      </c>
      <c r="AD226" s="38">
        <f>IF(AQ226="7",BH226,0)</f>
        <v>0</v>
      </c>
      <c r="AE226" s="38">
        <f>IF(AQ226="7",BI226,0)</f>
        <v>0</v>
      </c>
      <c r="AF226" s="38">
        <f>IF(AQ226="2",BH226,0)</f>
        <v>0</v>
      </c>
      <c r="AG226" s="38">
        <f>IF(AQ226="2",BI226,0)</f>
        <v>0</v>
      </c>
      <c r="AH226" s="38">
        <f>IF(AQ226="0",BJ226,0)</f>
        <v>0</v>
      </c>
      <c r="AI226" s="30" t="s">
        <v>136</v>
      </c>
      <c r="AJ226" s="21">
        <f>IF(AN226=0,J226,0)</f>
        <v>0</v>
      </c>
      <c r="AK226" s="21">
        <f>IF(AN226=15,J226,0)</f>
        <v>0</v>
      </c>
      <c r="AL226" s="21">
        <f>IF(AN226=21,J226,0)</f>
        <v>0</v>
      </c>
      <c r="AN226" s="38">
        <v>15</v>
      </c>
      <c r="AO226" s="38">
        <f>G226*0.0235952848722986</f>
        <v>0</v>
      </c>
      <c r="AP226" s="38">
        <f>G226*(1-0.0235952848722986)</f>
        <v>0</v>
      </c>
      <c r="AQ226" s="34" t="s">
        <v>13</v>
      </c>
      <c r="AV226" s="38">
        <f>AW226+AX226</f>
        <v>0</v>
      </c>
      <c r="AW226" s="38">
        <f>F226*AO226</f>
        <v>0</v>
      </c>
      <c r="AX226" s="38">
        <f>F226*AP226</f>
        <v>0</v>
      </c>
      <c r="AY226" s="39" t="s">
        <v>559</v>
      </c>
      <c r="AZ226" s="39" t="s">
        <v>579</v>
      </c>
      <c r="BA226" s="30" t="s">
        <v>589</v>
      </c>
      <c r="BC226" s="38">
        <f>AW226+AX226</f>
        <v>0</v>
      </c>
      <c r="BD226" s="38">
        <f>G226/(100-BE226)*100</f>
        <v>0</v>
      </c>
      <c r="BE226" s="38">
        <v>0</v>
      </c>
      <c r="BF226" s="38">
        <f>L226</f>
        <v>9E-05</v>
      </c>
      <c r="BH226" s="21">
        <f>F226*AO226</f>
        <v>0</v>
      </c>
      <c r="BI226" s="21">
        <f>F226*AP226</f>
        <v>0</v>
      </c>
      <c r="BJ226" s="21">
        <f>F226*G226</f>
        <v>0</v>
      </c>
    </row>
    <row r="227" spans="1:62" ht="25.5">
      <c r="A227" s="7" t="s">
        <v>112</v>
      </c>
      <c r="B227" s="7" t="s">
        <v>136</v>
      </c>
      <c r="C227" s="7" t="s">
        <v>248</v>
      </c>
      <c r="D227" s="125" t="s">
        <v>469</v>
      </c>
      <c r="E227" s="7" t="s">
        <v>513</v>
      </c>
      <c r="F227" s="23">
        <v>10</v>
      </c>
      <c r="G227" s="23">
        <v>0</v>
      </c>
      <c r="H227" s="23">
        <f>F227*AO227</f>
        <v>0</v>
      </c>
      <c r="I227" s="23">
        <f>F227*AP227</f>
        <v>0</v>
      </c>
      <c r="J227" s="23">
        <f>F227*G227</f>
        <v>0</v>
      </c>
      <c r="K227" s="23">
        <v>0</v>
      </c>
      <c r="L227" s="23">
        <f>F227*K227</f>
        <v>0</v>
      </c>
      <c r="M227" s="35"/>
      <c r="Z227" s="38">
        <f>IF(AQ227="5",BJ227,0)</f>
        <v>0</v>
      </c>
      <c r="AB227" s="38">
        <f>IF(AQ227="1",BH227,0)</f>
        <v>0</v>
      </c>
      <c r="AC227" s="38">
        <f>IF(AQ227="1",BI227,0)</f>
        <v>0</v>
      </c>
      <c r="AD227" s="38">
        <f>IF(AQ227="7",BH227,0)</f>
        <v>0</v>
      </c>
      <c r="AE227" s="38">
        <f>IF(AQ227="7",BI227,0)</f>
        <v>0</v>
      </c>
      <c r="AF227" s="38">
        <f>IF(AQ227="2",BH227,0)</f>
        <v>0</v>
      </c>
      <c r="AG227" s="38">
        <f>IF(AQ227="2",BI227,0)</f>
        <v>0</v>
      </c>
      <c r="AH227" s="38">
        <f>IF(AQ227="0",BJ227,0)</f>
        <v>0</v>
      </c>
      <c r="AI227" s="30" t="s">
        <v>136</v>
      </c>
      <c r="AJ227" s="23">
        <f>IF(AN227=0,J227,0)</f>
        <v>0</v>
      </c>
      <c r="AK227" s="23">
        <f>IF(AN227=15,J227,0)</f>
        <v>0</v>
      </c>
      <c r="AL227" s="23">
        <f>IF(AN227=21,J227,0)</f>
        <v>0</v>
      </c>
      <c r="AN227" s="38">
        <v>15</v>
      </c>
      <c r="AO227" s="38">
        <f>G227*1</f>
        <v>0</v>
      </c>
      <c r="AP227" s="38">
        <f>G227*(1-1)</f>
        <v>0</v>
      </c>
      <c r="AQ227" s="35" t="s">
        <v>13</v>
      </c>
      <c r="AV227" s="38">
        <f>AW227+AX227</f>
        <v>0</v>
      </c>
      <c r="AW227" s="38">
        <f>F227*AO227</f>
        <v>0</v>
      </c>
      <c r="AX227" s="38">
        <f>F227*AP227</f>
        <v>0</v>
      </c>
      <c r="AY227" s="39" t="s">
        <v>559</v>
      </c>
      <c r="AZ227" s="39" t="s">
        <v>579</v>
      </c>
      <c r="BA227" s="30" t="s">
        <v>589</v>
      </c>
      <c r="BC227" s="38">
        <f>AW227+AX227</f>
        <v>0</v>
      </c>
      <c r="BD227" s="38">
        <f>G227/(100-BE227)*100</f>
        <v>0</v>
      </c>
      <c r="BE227" s="38">
        <v>0</v>
      </c>
      <c r="BF227" s="38">
        <f>L227</f>
        <v>0</v>
      </c>
      <c r="BH227" s="23">
        <f>F227*AO227</f>
        <v>0</v>
      </c>
      <c r="BI227" s="23">
        <f>F227*AP227</f>
        <v>0</v>
      </c>
      <c r="BJ227" s="23">
        <f>F227*G227</f>
        <v>0</v>
      </c>
    </row>
    <row r="228" spans="1:47" ht="25.5">
      <c r="A228" s="4"/>
      <c r="B228" s="14" t="s">
        <v>136</v>
      </c>
      <c r="C228" s="14" t="s">
        <v>146</v>
      </c>
      <c r="D228" s="121" t="s">
        <v>286</v>
      </c>
      <c r="E228" s="4" t="s">
        <v>6</v>
      </c>
      <c r="F228" s="4" t="s">
        <v>6</v>
      </c>
      <c r="G228" s="4" t="s">
        <v>6</v>
      </c>
      <c r="H228" s="41">
        <f>SUM(H229:H229)</f>
        <v>0</v>
      </c>
      <c r="I228" s="41">
        <f>SUM(I229:I229)</f>
        <v>0</v>
      </c>
      <c r="J228" s="41">
        <f>SUM(J229:J229)</f>
        <v>0</v>
      </c>
      <c r="K228" s="30"/>
      <c r="L228" s="41">
        <f>SUM(L229:L229)</f>
        <v>0.0318</v>
      </c>
      <c r="M228" s="30"/>
      <c r="AI228" s="30" t="s">
        <v>136</v>
      </c>
      <c r="AS228" s="41">
        <f>SUM(AJ229:AJ229)</f>
        <v>0</v>
      </c>
      <c r="AT228" s="41">
        <f>SUM(AK229:AK229)</f>
        <v>0</v>
      </c>
      <c r="AU228" s="41">
        <f>SUM(AL229:AL229)</f>
        <v>0</v>
      </c>
    </row>
    <row r="229" spans="1:62" ht="12.75">
      <c r="A229" s="5" t="s">
        <v>113</v>
      </c>
      <c r="B229" s="5" t="s">
        <v>136</v>
      </c>
      <c r="C229" s="5" t="s">
        <v>249</v>
      </c>
      <c r="D229" s="122" t="s">
        <v>470</v>
      </c>
      <c r="E229" s="5" t="s">
        <v>508</v>
      </c>
      <c r="F229" s="21">
        <v>30</v>
      </c>
      <c r="G229" s="21">
        <v>0</v>
      </c>
      <c r="H229" s="21">
        <f>F229*AO229</f>
        <v>0</v>
      </c>
      <c r="I229" s="21">
        <f>F229*AP229</f>
        <v>0</v>
      </c>
      <c r="J229" s="21">
        <f>F229*G229</f>
        <v>0</v>
      </c>
      <c r="K229" s="21">
        <v>0.00106</v>
      </c>
      <c r="L229" s="21">
        <f>F229*K229</f>
        <v>0.0318</v>
      </c>
      <c r="M229" s="34" t="s">
        <v>531</v>
      </c>
      <c r="Z229" s="38">
        <f>IF(AQ229="5",BJ229,0)</f>
        <v>0</v>
      </c>
      <c r="AB229" s="38">
        <f>IF(AQ229="1",BH229,0)</f>
        <v>0</v>
      </c>
      <c r="AC229" s="38">
        <f>IF(AQ229="1",BI229,0)</f>
        <v>0</v>
      </c>
      <c r="AD229" s="38">
        <f>IF(AQ229="7",BH229,0)</f>
        <v>0</v>
      </c>
      <c r="AE229" s="38">
        <f>IF(AQ229="7",BI229,0)</f>
        <v>0</v>
      </c>
      <c r="AF229" s="38">
        <f>IF(AQ229="2",BH229,0)</f>
        <v>0</v>
      </c>
      <c r="AG229" s="38">
        <f>IF(AQ229="2",BI229,0)</f>
        <v>0</v>
      </c>
      <c r="AH229" s="38">
        <f>IF(AQ229="0",BJ229,0)</f>
        <v>0</v>
      </c>
      <c r="AI229" s="30" t="s">
        <v>136</v>
      </c>
      <c r="AJ229" s="21">
        <f>IF(AN229=0,J229,0)</f>
        <v>0</v>
      </c>
      <c r="AK229" s="21">
        <f>IF(AN229=15,J229,0)</f>
        <v>0</v>
      </c>
      <c r="AL229" s="21">
        <f>IF(AN229=21,J229,0)</f>
        <v>0</v>
      </c>
      <c r="AN229" s="38">
        <v>15</v>
      </c>
      <c r="AO229" s="38">
        <f>G229*0.293084290174083</f>
        <v>0</v>
      </c>
      <c r="AP229" s="38">
        <f>G229*(1-0.293084290174083)</f>
        <v>0</v>
      </c>
      <c r="AQ229" s="34" t="s">
        <v>13</v>
      </c>
      <c r="AV229" s="38">
        <f>AW229+AX229</f>
        <v>0</v>
      </c>
      <c r="AW229" s="38">
        <f>F229*AO229</f>
        <v>0</v>
      </c>
      <c r="AX229" s="38">
        <f>F229*AP229</f>
        <v>0</v>
      </c>
      <c r="AY229" s="39" t="s">
        <v>544</v>
      </c>
      <c r="AZ229" s="39" t="s">
        <v>579</v>
      </c>
      <c r="BA229" s="30" t="s">
        <v>589</v>
      </c>
      <c r="BC229" s="38">
        <f>AW229+AX229</f>
        <v>0</v>
      </c>
      <c r="BD229" s="38">
        <f>G229/(100-BE229)*100</f>
        <v>0</v>
      </c>
      <c r="BE229" s="38">
        <v>0</v>
      </c>
      <c r="BF229" s="38">
        <f>L229</f>
        <v>0.0318</v>
      </c>
      <c r="BH229" s="21">
        <f>F229*AO229</f>
        <v>0</v>
      </c>
      <c r="BI229" s="21">
        <f>F229*AP229</f>
        <v>0</v>
      </c>
      <c r="BJ229" s="21">
        <f>F229*G229</f>
        <v>0</v>
      </c>
    </row>
    <row r="230" ht="12.75">
      <c r="D230" s="18" t="s">
        <v>471</v>
      </c>
    </row>
    <row r="231" spans="4:6" ht="12.75">
      <c r="D231" s="123" t="s">
        <v>472</v>
      </c>
      <c r="F231" s="22">
        <v>30</v>
      </c>
    </row>
    <row r="232" spans="1:47" ht="12.75">
      <c r="A232" s="4"/>
      <c r="B232" s="14" t="s">
        <v>136</v>
      </c>
      <c r="C232" s="14" t="s">
        <v>250</v>
      </c>
      <c r="D232" s="121" t="s">
        <v>473</v>
      </c>
      <c r="E232" s="4" t="s">
        <v>6</v>
      </c>
      <c r="F232" s="4" t="s">
        <v>6</v>
      </c>
      <c r="G232" s="4" t="s">
        <v>6</v>
      </c>
      <c r="H232" s="41">
        <f>SUM(H233:H243)</f>
        <v>0</v>
      </c>
      <c r="I232" s="41">
        <f>SUM(I233:I243)</f>
        <v>0</v>
      </c>
      <c r="J232" s="41">
        <f>SUM(J233:J243)</f>
        <v>0</v>
      </c>
      <c r="K232" s="30"/>
      <c r="L232" s="41">
        <f>SUM(L233:L243)</f>
        <v>0.3550249</v>
      </c>
      <c r="M232" s="30"/>
      <c r="AI232" s="30" t="s">
        <v>136</v>
      </c>
      <c r="AS232" s="41">
        <f>SUM(AJ233:AJ243)</f>
        <v>0</v>
      </c>
      <c r="AT232" s="41">
        <f>SUM(AK233:AK243)</f>
        <v>0</v>
      </c>
      <c r="AU232" s="41">
        <f>SUM(AL233:AL243)</f>
        <v>0</v>
      </c>
    </row>
    <row r="233" spans="1:62" ht="25.5">
      <c r="A233" s="5" t="s">
        <v>114</v>
      </c>
      <c r="B233" s="5" t="s">
        <v>136</v>
      </c>
      <c r="C233" s="5" t="s">
        <v>251</v>
      </c>
      <c r="D233" s="122" t="s">
        <v>474</v>
      </c>
      <c r="E233" s="5" t="s">
        <v>505</v>
      </c>
      <c r="F233" s="21">
        <v>12</v>
      </c>
      <c r="G233" s="21">
        <v>0</v>
      </c>
      <c r="H233" s="21">
        <f>F233*AO233</f>
        <v>0</v>
      </c>
      <c r="I233" s="21">
        <f>F233*AP233</f>
        <v>0</v>
      </c>
      <c r="J233" s="21">
        <f>F233*G233</f>
        <v>0</v>
      </c>
      <c r="K233" s="21">
        <v>0</v>
      </c>
      <c r="L233" s="21">
        <f>F233*K233</f>
        <v>0</v>
      </c>
      <c r="M233" s="34" t="s">
        <v>531</v>
      </c>
      <c r="Z233" s="38">
        <f>IF(AQ233="5",BJ233,0)</f>
        <v>0</v>
      </c>
      <c r="AB233" s="38">
        <f>IF(AQ233="1",BH233,0)</f>
        <v>0</v>
      </c>
      <c r="AC233" s="38">
        <f>IF(AQ233="1",BI233,0)</f>
        <v>0</v>
      </c>
      <c r="AD233" s="38">
        <f>IF(AQ233="7",BH233,0)</f>
        <v>0</v>
      </c>
      <c r="AE233" s="38">
        <f>IF(AQ233="7",BI233,0)</f>
        <v>0</v>
      </c>
      <c r="AF233" s="38">
        <f>IF(AQ233="2",BH233,0)</f>
        <v>0</v>
      </c>
      <c r="AG233" s="38">
        <f>IF(AQ233="2",BI233,0)</f>
        <v>0</v>
      </c>
      <c r="AH233" s="38">
        <f>IF(AQ233="0",BJ233,0)</f>
        <v>0</v>
      </c>
      <c r="AI233" s="30" t="s">
        <v>136</v>
      </c>
      <c r="AJ233" s="21">
        <f>IF(AN233=0,J233,0)</f>
        <v>0</v>
      </c>
      <c r="AK233" s="21">
        <f>IF(AN233=15,J233,0)</f>
        <v>0</v>
      </c>
      <c r="AL233" s="21">
        <f>IF(AN233=21,J233,0)</f>
        <v>0</v>
      </c>
      <c r="AN233" s="38">
        <v>15</v>
      </c>
      <c r="AO233" s="38">
        <f>G233*0</f>
        <v>0</v>
      </c>
      <c r="AP233" s="38">
        <f>G233*(1-0)</f>
        <v>0</v>
      </c>
      <c r="AQ233" s="34" t="s">
        <v>13</v>
      </c>
      <c r="AV233" s="38">
        <f>AW233+AX233</f>
        <v>0</v>
      </c>
      <c r="AW233" s="38">
        <f>F233*AO233</f>
        <v>0</v>
      </c>
      <c r="AX233" s="38">
        <f>F233*AP233</f>
        <v>0</v>
      </c>
      <c r="AY233" s="39" t="s">
        <v>560</v>
      </c>
      <c r="AZ233" s="39" t="s">
        <v>580</v>
      </c>
      <c r="BA233" s="30" t="s">
        <v>589</v>
      </c>
      <c r="BC233" s="38">
        <f>AW233+AX233</f>
        <v>0</v>
      </c>
      <c r="BD233" s="38">
        <f>G233/(100-BE233)*100</f>
        <v>0</v>
      </c>
      <c r="BE233" s="38">
        <v>0</v>
      </c>
      <c r="BF233" s="38">
        <f>L233</f>
        <v>0</v>
      </c>
      <c r="BH233" s="21">
        <f>F233*AO233</f>
        <v>0</v>
      </c>
      <c r="BI233" s="21">
        <f>F233*AP233</f>
        <v>0</v>
      </c>
      <c r="BJ233" s="21">
        <f>F233*G233</f>
        <v>0</v>
      </c>
    </row>
    <row r="234" spans="1:62" ht="25.5">
      <c r="A234" s="7" t="s">
        <v>115</v>
      </c>
      <c r="B234" s="7" t="s">
        <v>136</v>
      </c>
      <c r="C234" s="7" t="s">
        <v>252</v>
      </c>
      <c r="D234" s="125" t="s">
        <v>475</v>
      </c>
      <c r="E234" s="7" t="s">
        <v>508</v>
      </c>
      <c r="F234" s="23">
        <v>7</v>
      </c>
      <c r="G234" s="23">
        <v>0</v>
      </c>
      <c r="H234" s="23">
        <f>F234*AO234</f>
        <v>0</v>
      </c>
      <c r="I234" s="23">
        <f>F234*AP234</f>
        <v>0</v>
      </c>
      <c r="J234" s="23">
        <f>F234*G234</f>
        <v>0</v>
      </c>
      <c r="K234" s="23">
        <v>0.001</v>
      </c>
      <c r="L234" s="23">
        <f>F234*K234</f>
        <v>0.007</v>
      </c>
      <c r="M234" s="35" t="s">
        <v>531</v>
      </c>
      <c r="Z234" s="38">
        <f>IF(AQ234="5",BJ234,0)</f>
        <v>0</v>
      </c>
      <c r="AB234" s="38">
        <f>IF(AQ234="1",BH234,0)</f>
        <v>0</v>
      </c>
      <c r="AC234" s="38">
        <f>IF(AQ234="1",BI234,0)</f>
        <v>0</v>
      </c>
      <c r="AD234" s="38">
        <f>IF(AQ234="7",BH234,0)</f>
        <v>0</v>
      </c>
      <c r="AE234" s="38">
        <f>IF(AQ234="7",BI234,0)</f>
        <v>0</v>
      </c>
      <c r="AF234" s="38">
        <f>IF(AQ234="2",BH234,0)</f>
        <v>0</v>
      </c>
      <c r="AG234" s="38">
        <f>IF(AQ234="2",BI234,0)</f>
        <v>0</v>
      </c>
      <c r="AH234" s="38">
        <f>IF(AQ234="0",BJ234,0)</f>
        <v>0</v>
      </c>
      <c r="AI234" s="30" t="s">
        <v>136</v>
      </c>
      <c r="AJ234" s="23">
        <f>IF(AN234=0,J234,0)</f>
        <v>0</v>
      </c>
      <c r="AK234" s="23">
        <f>IF(AN234=15,J234,0)</f>
        <v>0</v>
      </c>
      <c r="AL234" s="23">
        <f>IF(AN234=21,J234,0)</f>
        <v>0</v>
      </c>
      <c r="AN234" s="38">
        <v>15</v>
      </c>
      <c r="AO234" s="38">
        <f>G234*1</f>
        <v>0</v>
      </c>
      <c r="AP234" s="38">
        <f>G234*(1-1)</f>
        <v>0</v>
      </c>
      <c r="AQ234" s="35" t="s">
        <v>13</v>
      </c>
      <c r="AV234" s="38">
        <f>AW234+AX234</f>
        <v>0</v>
      </c>
      <c r="AW234" s="38">
        <f>F234*AO234</f>
        <v>0</v>
      </c>
      <c r="AX234" s="38">
        <f>F234*AP234</f>
        <v>0</v>
      </c>
      <c r="AY234" s="39" t="s">
        <v>560</v>
      </c>
      <c r="AZ234" s="39" t="s">
        <v>580</v>
      </c>
      <c r="BA234" s="30" t="s">
        <v>589</v>
      </c>
      <c r="BC234" s="38">
        <f>AW234+AX234</f>
        <v>0</v>
      </c>
      <c r="BD234" s="38">
        <f>G234/(100-BE234)*100</f>
        <v>0</v>
      </c>
      <c r="BE234" s="38">
        <v>0</v>
      </c>
      <c r="BF234" s="38">
        <f>L234</f>
        <v>0.007</v>
      </c>
      <c r="BH234" s="23">
        <f>F234*AO234</f>
        <v>0</v>
      </c>
      <c r="BI234" s="23">
        <f>F234*AP234</f>
        <v>0</v>
      </c>
      <c r="BJ234" s="23">
        <f>F234*G234</f>
        <v>0</v>
      </c>
    </row>
    <row r="235" spans="3:13" ht="25.5" customHeight="1">
      <c r="C235" s="17" t="s">
        <v>175</v>
      </c>
      <c r="D235" s="87" t="s">
        <v>476</v>
      </c>
      <c r="E235" s="88"/>
      <c r="F235" s="88"/>
      <c r="G235" s="88"/>
      <c r="H235" s="88"/>
      <c r="I235" s="88"/>
      <c r="J235" s="88"/>
      <c r="K235" s="88"/>
      <c r="L235" s="88"/>
      <c r="M235" s="88"/>
    </row>
    <row r="236" spans="1:62" ht="12.75">
      <c r="A236" s="7" t="s">
        <v>116</v>
      </c>
      <c r="B236" s="7" t="s">
        <v>136</v>
      </c>
      <c r="C236" s="7" t="s">
        <v>253</v>
      </c>
      <c r="D236" s="125" t="s">
        <v>477</v>
      </c>
      <c r="E236" s="7" t="s">
        <v>508</v>
      </c>
      <c r="F236" s="23">
        <v>60</v>
      </c>
      <c r="G236" s="23">
        <v>0</v>
      </c>
      <c r="H236" s="23">
        <f>F236*AO236</f>
        <v>0</v>
      </c>
      <c r="I236" s="23">
        <f>F236*AP236</f>
        <v>0</v>
      </c>
      <c r="J236" s="23">
        <f>F236*G236</f>
        <v>0</v>
      </c>
      <c r="K236" s="23">
        <v>0.001</v>
      </c>
      <c r="L236" s="23">
        <f>F236*K236</f>
        <v>0.06</v>
      </c>
      <c r="M236" s="35" t="s">
        <v>531</v>
      </c>
      <c r="Z236" s="38">
        <f>IF(AQ236="5",BJ236,0)</f>
        <v>0</v>
      </c>
      <c r="AB236" s="38">
        <f>IF(AQ236="1",BH236,0)</f>
        <v>0</v>
      </c>
      <c r="AC236" s="38">
        <f>IF(AQ236="1",BI236,0)</f>
        <v>0</v>
      </c>
      <c r="AD236" s="38">
        <f>IF(AQ236="7",BH236,0)</f>
        <v>0</v>
      </c>
      <c r="AE236" s="38">
        <f>IF(AQ236="7",BI236,0)</f>
        <v>0</v>
      </c>
      <c r="AF236" s="38">
        <f>IF(AQ236="2",BH236,0)</f>
        <v>0</v>
      </c>
      <c r="AG236" s="38">
        <f>IF(AQ236="2",BI236,0)</f>
        <v>0</v>
      </c>
      <c r="AH236" s="38">
        <f>IF(AQ236="0",BJ236,0)</f>
        <v>0</v>
      </c>
      <c r="AI236" s="30" t="s">
        <v>136</v>
      </c>
      <c r="AJ236" s="23">
        <f>IF(AN236=0,J236,0)</f>
        <v>0</v>
      </c>
      <c r="AK236" s="23">
        <f>IF(AN236=15,J236,0)</f>
        <v>0</v>
      </c>
      <c r="AL236" s="23">
        <f>IF(AN236=21,J236,0)</f>
        <v>0</v>
      </c>
      <c r="AN236" s="38">
        <v>15</v>
      </c>
      <c r="AO236" s="38">
        <f>G236*1</f>
        <v>0</v>
      </c>
      <c r="AP236" s="38">
        <f>G236*(1-1)</f>
        <v>0</v>
      </c>
      <c r="AQ236" s="35" t="s">
        <v>13</v>
      </c>
      <c r="AV236" s="38">
        <f>AW236+AX236</f>
        <v>0</v>
      </c>
      <c r="AW236" s="38">
        <f>F236*AO236</f>
        <v>0</v>
      </c>
      <c r="AX236" s="38">
        <f>F236*AP236</f>
        <v>0</v>
      </c>
      <c r="AY236" s="39" t="s">
        <v>560</v>
      </c>
      <c r="AZ236" s="39" t="s">
        <v>580</v>
      </c>
      <c r="BA236" s="30" t="s">
        <v>589</v>
      </c>
      <c r="BC236" s="38">
        <f>AW236+AX236</f>
        <v>0</v>
      </c>
      <c r="BD236" s="38">
        <f>G236/(100-BE236)*100</f>
        <v>0</v>
      </c>
      <c r="BE236" s="38">
        <v>0</v>
      </c>
      <c r="BF236" s="38">
        <f>L236</f>
        <v>0.06</v>
      </c>
      <c r="BH236" s="23">
        <f>F236*AO236</f>
        <v>0</v>
      </c>
      <c r="BI236" s="23">
        <f>F236*AP236</f>
        <v>0</v>
      </c>
      <c r="BJ236" s="23">
        <f>F236*G236</f>
        <v>0</v>
      </c>
    </row>
    <row r="237" spans="3:13" ht="12.75">
      <c r="C237" s="17" t="s">
        <v>175</v>
      </c>
      <c r="D237" s="87" t="s">
        <v>478</v>
      </c>
      <c r="E237" s="88"/>
      <c r="F237" s="88"/>
      <c r="G237" s="88"/>
      <c r="H237" s="88"/>
      <c r="I237" s="88"/>
      <c r="J237" s="88"/>
      <c r="K237" s="88"/>
      <c r="L237" s="88"/>
      <c r="M237" s="88"/>
    </row>
    <row r="238" spans="1:62" ht="12.75">
      <c r="A238" s="7" t="s">
        <v>117</v>
      </c>
      <c r="B238" s="7" t="s">
        <v>136</v>
      </c>
      <c r="C238" s="7" t="s">
        <v>254</v>
      </c>
      <c r="D238" s="125" t="s">
        <v>479</v>
      </c>
      <c r="E238" s="7" t="s">
        <v>505</v>
      </c>
      <c r="F238" s="23">
        <v>13.2</v>
      </c>
      <c r="G238" s="23">
        <v>0</v>
      </c>
      <c r="H238" s="23">
        <f>F238*AO238</f>
        <v>0</v>
      </c>
      <c r="I238" s="23">
        <f>F238*AP238</f>
        <v>0</v>
      </c>
      <c r="J238" s="23">
        <f>F238*G238</f>
        <v>0</v>
      </c>
      <c r="K238" s="23">
        <v>0.0192</v>
      </c>
      <c r="L238" s="23">
        <f>F238*K238</f>
        <v>0.25343999999999994</v>
      </c>
      <c r="M238" s="35" t="s">
        <v>531</v>
      </c>
      <c r="Z238" s="38">
        <f>IF(AQ238="5",BJ238,0)</f>
        <v>0</v>
      </c>
      <c r="AB238" s="38">
        <f>IF(AQ238="1",BH238,0)</f>
        <v>0</v>
      </c>
      <c r="AC238" s="38">
        <f>IF(AQ238="1",BI238,0)</f>
        <v>0</v>
      </c>
      <c r="AD238" s="38">
        <f>IF(AQ238="7",BH238,0)</f>
        <v>0</v>
      </c>
      <c r="AE238" s="38">
        <f>IF(AQ238="7",BI238,0)</f>
        <v>0</v>
      </c>
      <c r="AF238" s="38">
        <f>IF(AQ238="2",BH238,0)</f>
        <v>0</v>
      </c>
      <c r="AG238" s="38">
        <f>IF(AQ238="2",BI238,0)</f>
        <v>0</v>
      </c>
      <c r="AH238" s="38">
        <f>IF(AQ238="0",BJ238,0)</f>
        <v>0</v>
      </c>
      <c r="AI238" s="30" t="s">
        <v>136</v>
      </c>
      <c r="AJ238" s="23">
        <f>IF(AN238=0,J238,0)</f>
        <v>0</v>
      </c>
      <c r="AK238" s="23">
        <f>IF(AN238=15,J238,0)</f>
        <v>0</v>
      </c>
      <c r="AL238" s="23">
        <f>IF(AN238=21,J238,0)</f>
        <v>0</v>
      </c>
      <c r="AN238" s="38">
        <v>15</v>
      </c>
      <c r="AO238" s="38">
        <f>G238*1</f>
        <v>0</v>
      </c>
      <c r="AP238" s="38">
        <f>G238*(1-1)</f>
        <v>0</v>
      </c>
      <c r="AQ238" s="35" t="s">
        <v>13</v>
      </c>
      <c r="AV238" s="38">
        <f>AW238+AX238</f>
        <v>0</v>
      </c>
      <c r="AW238" s="38">
        <f>F238*AO238</f>
        <v>0</v>
      </c>
      <c r="AX238" s="38">
        <f>F238*AP238</f>
        <v>0</v>
      </c>
      <c r="AY238" s="39" t="s">
        <v>560</v>
      </c>
      <c r="AZ238" s="39" t="s">
        <v>580</v>
      </c>
      <c r="BA238" s="30" t="s">
        <v>589</v>
      </c>
      <c r="BC238" s="38">
        <f>AW238+AX238</f>
        <v>0</v>
      </c>
      <c r="BD238" s="38">
        <f>G238/(100-BE238)*100</f>
        <v>0</v>
      </c>
      <c r="BE238" s="38">
        <v>0</v>
      </c>
      <c r="BF238" s="38">
        <f>L238</f>
        <v>0.25343999999999994</v>
      </c>
      <c r="BH238" s="23">
        <f>F238*AO238</f>
        <v>0</v>
      </c>
      <c r="BI238" s="23">
        <f>F238*AP238</f>
        <v>0</v>
      </c>
      <c r="BJ238" s="23">
        <f>F238*G238</f>
        <v>0</v>
      </c>
    </row>
    <row r="239" spans="4:6" ht="12.75">
      <c r="D239" s="123" t="s">
        <v>18</v>
      </c>
      <c r="F239" s="22">
        <v>12</v>
      </c>
    </row>
    <row r="240" spans="4:6" ht="12.75">
      <c r="D240" s="123" t="s">
        <v>480</v>
      </c>
      <c r="F240" s="22">
        <v>1.2</v>
      </c>
    </row>
    <row r="241" spans="3:13" ht="12.75">
      <c r="C241" s="17" t="s">
        <v>175</v>
      </c>
      <c r="D241" s="87" t="s">
        <v>481</v>
      </c>
      <c r="E241" s="88"/>
      <c r="F241" s="88"/>
      <c r="G241" s="88"/>
      <c r="H241" s="88"/>
      <c r="I241" s="88"/>
      <c r="J241" s="88"/>
      <c r="K241" s="88"/>
      <c r="L241" s="88"/>
      <c r="M241" s="88"/>
    </row>
    <row r="242" spans="1:62" ht="25.5">
      <c r="A242" s="5" t="s">
        <v>118</v>
      </c>
      <c r="B242" s="5" t="s">
        <v>136</v>
      </c>
      <c r="C242" s="5" t="s">
        <v>255</v>
      </c>
      <c r="D242" s="122" t="s">
        <v>482</v>
      </c>
      <c r="E242" s="5" t="s">
        <v>510</v>
      </c>
      <c r="F242" s="21">
        <v>7</v>
      </c>
      <c r="G242" s="21">
        <v>0</v>
      </c>
      <c r="H242" s="21">
        <f>F242*AO242</f>
        <v>0</v>
      </c>
      <c r="I242" s="21">
        <f>F242*AP242</f>
        <v>0</v>
      </c>
      <c r="J242" s="21">
        <f>F242*G242</f>
        <v>0</v>
      </c>
      <c r="K242" s="21">
        <v>0</v>
      </c>
      <c r="L242" s="21">
        <f>F242*K242</f>
        <v>0</v>
      </c>
      <c r="M242" s="34" t="s">
        <v>531</v>
      </c>
      <c r="Z242" s="38">
        <f>IF(AQ242="5",BJ242,0)</f>
        <v>0</v>
      </c>
      <c r="AB242" s="38">
        <f>IF(AQ242="1",BH242,0)</f>
        <v>0</v>
      </c>
      <c r="AC242" s="38">
        <f>IF(AQ242="1",BI242,0)</f>
        <v>0</v>
      </c>
      <c r="AD242" s="38">
        <f>IF(AQ242="7",BH242,0)</f>
        <v>0</v>
      </c>
      <c r="AE242" s="38">
        <f>IF(AQ242="7",BI242,0)</f>
        <v>0</v>
      </c>
      <c r="AF242" s="38">
        <f>IF(AQ242="2",BH242,0)</f>
        <v>0</v>
      </c>
      <c r="AG242" s="38">
        <f>IF(AQ242="2",BI242,0)</f>
        <v>0</v>
      </c>
      <c r="AH242" s="38">
        <f>IF(AQ242="0",BJ242,0)</f>
        <v>0</v>
      </c>
      <c r="AI242" s="30" t="s">
        <v>136</v>
      </c>
      <c r="AJ242" s="21">
        <f>IF(AN242=0,J242,0)</f>
        <v>0</v>
      </c>
      <c r="AK242" s="21">
        <f>IF(AN242=15,J242,0)</f>
        <v>0</v>
      </c>
      <c r="AL242" s="21">
        <f>IF(AN242=21,J242,0)</f>
        <v>0</v>
      </c>
      <c r="AN242" s="38">
        <v>15</v>
      </c>
      <c r="AO242" s="38">
        <f>G242*0.0444469641136119</f>
        <v>0</v>
      </c>
      <c r="AP242" s="38">
        <f>G242*(1-0.0444469641136119)</f>
        <v>0</v>
      </c>
      <c r="AQ242" s="34" t="s">
        <v>13</v>
      </c>
      <c r="AV242" s="38">
        <f>AW242+AX242</f>
        <v>0</v>
      </c>
      <c r="AW242" s="38">
        <f>F242*AO242</f>
        <v>0</v>
      </c>
      <c r="AX242" s="38">
        <f>F242*AP242</f>
        <v>0</v>
      </c>
      <c r="AY242" s="39" t="s">
        <v>560</v>
      </c>
      <c r="AZ242" s="39" t="s">
        <v>580</v>
      </c>
      <c r="BA242" s="30" t="s">
        <v>589</v>
      </c>
      <c r="BC242" s="38">
        <f>AW242+AX242</f>
        <v>0</v>
      </c>
      <c r="BD242" s="38">
        <f>G242/(100-BE242)*100</f>
        <v>0</v>
      </c>
      <c r="BE242" s="38">
        <v>0</v>
      </c>
      <c r="BF242" s="38">
        <f>L242</f>
        <v>0</v>
      </c>
      <c r="BH242" s="21">
        <f>F242*AO242</f>
        <v>0</v>
      </c>
      <c r="BI242" s="21">
        <f>F242*AP242</f>
        <v>0</v>
      </c>
      <c r="BJ242" s="21">
        <f>F242*G242</f>
        <v>0</v>
      </c>
    </row>
    <row r="243" spans="1:62" ht="12.75">
      <c r="A243" s="5" t="s">
        <v>119</v>
      </c>
      <c r="B243" s="5" t="s">
        <v>136</v>
      </c>
      <c r="C243" s="5" t="s">
        <v>213</v>
      </c>
      <c r="D243" s="122" t="s">
        <v>410</v>
      </c>
      <c r="E243" s="5" t="s">
        <v>509</v>
      </c>
      <c r="F243" s="21">
        <v>0.03</v>
      </c>
      <c r="G243" s="21">
        <v>0</v>
      </c>
      <c r="H243" s="21">
        <f>F243*AO243</f>
        <v>0</v>
      </c>
      <c r="I243" s="21">
        <f>F243*AP243</f>
        <v>0</v>
      </c>
      <c r="J243" s="21">
        <f>F243*G243</f>
        <v>0</v>
      </c>
      <c r="K243" s="21">
        <v>1.15283</v>
      </c>
      <c r="L243" s="21">
        <f>F243*K243</f>
        <v>0.0345849</v>
      </c>
      <c r="M243" s="34" t="s">
        <v>531</v>
      </c>
      <c r="Z243" s="38">
        <f>IF(AQ243="5",BJ243,0)</f>
        <v>0</v>
      </c>
      <c r="AB243" s="38">
        <f>IF(AQ243="1",BH243,0)</f>
        <v>0</v>
      </c>
      <c r="AC243" s="38">
        <f>IF(AQ243="1",BI243,0)</f>
        <v>0</v>
      </c>
      <c r="AD243" s="38">
        <f>IF(AQ243="7",BH243,0)</f>
        <v>0</v>
      </c>
      <c r="AE243" s="38">
        <f>IF(AQ243="7",BI243,0)</f>
        <v>0</v>
      </c>
      <c r="AF243" s="38">
        <f>IF(AQ243="2",BH243,0)</f>
        <v>0</v>
      </c>
      <c r="AG243" s="38">
        <f>IF(AQ243="2",BI243,0)</f>
        <v>0</v>
      </c>
      <c r="AH243" s="38">
        <f>IF(AQ243="0",BJ243,0)</f>
        <v>0</v>
      </c>
      <c r="AI243" s="30" t="s">
        <v>136</v>
      </c>
      <c r="AJ243" s="21">
        <f>IF(AN243=0,J243,0)</f>
        <v>0</v>
      </c>
      <c r="AK243" s="21">
        <f>IF(AN243=15,J243,0)</f>
        <v>0</v>
      </c>
      <c r="AL243" s="21">
        <f>IF(AN243=21,J243,0)</f>
        <v>0</v>
      </c>
      <c r="AN243" s="38">
        <v>15</v>
      </c>
      <c r="AO243" s="38">
        <f>G243*0.842983591885441</f>
        <v>0</v>
      </c>
      <c r="AP243" s="38">
        <f>G243*(1-0.842983591885441)</f>
        <v>0</v>
      </c>
      <c r="AQ243" s="34" t="s">
        <v>13</v>
      </c>
      <c r="AV243" s="38">
        <f>AW243+AX243</f>
        <v>0</v>
      </c>
      <c r="AW243" s="38">
        <f>F243*AO243</f>
        <v>0</v>
      </c>
      <c r="AX243" s="38">
        <f>F243*AP243</f>
        <v>0</v>
      </c>
      <c r="AY243" s="39" t="s">
        <v>560</v>
      </c>
      <c r="AZ243" s="39" t="s">
        <v>580</v>
      </c>
      <c r="BA243" s="30" t="s">
        <v>589</v>
      </c>
      <c r="BC243" s="38">
        <f>AW243+AX243</f>
        <v>0</v>
      </c>
      <c r="BD243" s="38">
        <f>G243/(100-BE243)*100</f>
        <v>0</v>
      </c>
      <c r="BE243" s="38">
        <v>0</v>
      </c>
      <c r="BF243" s="38">
        <f>L243</f>
        <v>0.0345849</v>
      </c>
      <c r="BH243" s="21">
        <f>F243*AO243</f>
        <v>0</v>
      </c>
      <c r="BI243" s="21">
        <f>F243*AP243</f>
        <v>0</v>
      </c>
      <c r="BJ243" s="21">
        <f>F243*G243</f>
        <v>0</v>
      </c>
    </row>
    <row r="244" spans="1:47" ht="12.75">
      <c r="A244" s="4"/>
      <c r="B244" s="14" t="s">
        <v>136</v>
      </c>
      <c r="C244" s="14" t="s">
        <v>256</v>
      </c>
      <c r="D244" s="121" t="s">
        <v>483</v>
      </c>
      <c r="E244" s="4" t="s">
        <v>6</v>
      </c>
      <c r="F244" s="4" t="s">
        <v>6</v>
      </c>
      <c r="G244" s="4" t="s">
        <v>6</v>
      </c>
      <c r="H244" s="41">
        <f>SUM(H245:H249)</f>
        <v>0</v>
      </c>
      <c r="I244" s="41">
        <f>SUM(I245:I249)</f>
        <v>0</v>
      </c>
      <c r="J244" s="41">
        <f>SUM(J245:J249)</f>
        <v>0</v>
      </c>
      <c r="K244" s="30"/>
      <c r="L244" s="41">
        <f>SUM(L245:L249)</f>
        <v>0.07202</v>
      </c>
      <c r="M244" s="30"/>
      <c r="AI244" s="30" t="s">
        <v>136</v>
      </c>
      <c r="AS244" s="41">
        <f>SUM(AJ245:AJ249)</f>
        <v>0</v>
      </c>
      <c r="AT244" s="41">
        <f>SUM(AK245:AK249)</f>
        <v>0</v>
      </c>
      <c r="AU244" s="41">
        <f>SUM(AL245:AL249)</f>
        <v>0</v>
      </c>
    </row>
    <row r="245" spans="1:62" ht="25.5">
      <c r="A245" s="5" t="s">
        <v>120</v>
      </c>
      <c r="B245" s="5" t="s">
        <v>136</v>
      </c>
      <c r="C245" s="5" t="s">
        <v>257</v>
      </c>
      <c r="D245" s="122" t="s">
        <v>484</v>
      </c>
      <c r="E245" s="5" t="s">
        <v>505</v>
      </c>
      <c r="F245" s="21">
        <v>22</v>
      </c>
      <c r="G245" s="21">
        <v>0</v>
      </c>
      <c r="H245" s="21">
        <f>F245*AO245</f>
        <v>0</v>
      </c>
      <c r="I245" s="21">
        <f>F245*AP245</f>
        <v>0</v>
      </c>
      <c r="J245" s="21">
        <f>F245*G245</f>
        <v>0</v>
      </c>
      <c r="K245" s="21">
        <v>0.00051</v>
      </c>
      <c r="L245" s="21">
        <f>F245*K245</f>
        <v>0.01122</v>
      </c>
      <c r="M245" s="34" t="s">
        <v>531</v>
      </c>
      <c r="Z245" s="38">
        <f>IF(AQ245="5",BJ245,0)</f>
        <v>0</v>
      </c>
      <c r="AB245" s="38">
        <f>IF(AQ245="1",BH245,0)</f>
        <v>0</v>
      </c>
      <c r="AC245" s="38">
        <f>IF(AQ245="1",BI245,0)</f>
        <v>0</v>
      </c>
      <c r="AD245" s="38">
        <f>IF(AQ245="7",BH245,0)</f>
        <v>0</v>
      </c>
      <c r="AE245" s="38">
        <f>IF(AQ245="7",BI245,0)</f>
        <v>0</v>
      </c>
      <c r="AF245" s="38">
        <f>IF(AQ245="2",BH245,0)</f>
        <v>0</v>
      </c>
      <c r="AG245" s="38">
        <f>IF(AQ245="2",BI245,0)</f>
        <v>0</v>
      </c>
      <c r="AH245" s="38">
        <f>IF(AQ245="0",BJ245,0)</f>
        <v>0</v>
      </c>
      <c r="AI245" s="30" t="s">
        <v>136</v>
      </c>
      <c r="AJ245" s="21">
        <f>IF(AN245=0,J245,0)</f>
        <v>0</v>
      </c>
      <c r="AK245" s="21">
        <f>IF(AN245=15,J245,0)</f>
        <v>0</v>
      </c>
      <c r="AL245" s="21">
        <f>IF(AN245=21,J245,0)</f>
        <v>0</v>
      </c>
      <c r="AN245" s="38">
        <v>15</v>
      </c>
      <c r="AO245" s="38">
        <f>G245*0.377951807228916</f>
        <v>0</v>
      </c>
      <c r="AP245" s="38">
        <f>G245*(1-0.377951807228916)</f>
        <v>0</v>
      </c>
      <c r="AQ245" s="34" t="s">
        <v>13</v>
      </c>
      <c r="AV245" s="38">
        <f>AW245+AX245</f>
        <v>0</v>
      </c>
      <c r="AW245" s="38">
        <f>F245*AO245</f>
        <v>0</v>
      </c>
      <c r="AX245" s="38">
        <f>F245*AP245</f>
        <v>0</v>
      </c>
      <c r="AY245" s="39" t="s">
        <v>561</v>
      </c>
      <c r="AZ245" s="39" t="s">
        <v>581</v>
      </c>
      <c r="BA245" s="30" t="s">
        <v>589</v>
      </c>
      <c r="BC245" s="38">
        <f>AW245+AX245</f>
        <v>0</v>
      </c>
      <c r="BD245" s="38">
        <f>G245/(100-BE245)*100</f>
        <v>0</v>
      </c>
      <c r="BE245" s="38">
        <v>0</v>
      </c>
      <c r="BF245" s="38">
        <f>L245</f>
        <v>0.01122</v>
      </c>
      <c r="BH245" s="21">
        <f>F245*AO245</f>
        <v>0</v>
      </c>
      <c r="BI245" s="21">
        <f>F245*AP245</f>
        <v>0</v>
      </c>
      <c r="BJ245" s="21">
        <f>F245*G245</f>
        <v>0</v>
      </c>
    </row>
    <row r="246" spans="1:62" ht="12.75">
      <c r="A246" s="5" t="s">
        <v>121</v>
      </c>
      <c r="B246" s="5" t="s">
        <v>136</v>
      </c>
      <c r="C246" s="5" t="s">
        <v>258</v>
      </c>
      <c r="D246" s="122" t="s">
        <v>485</v>
      </c>
      <c r="E246" s="5" t="s">
        <v>505</v>
      </c>
      <c r="F246" s="21">
        <v>48</v>
      </c>
      <c r="G246" s="21">
        <v>0</v>
      </c>
      <c r="H246" s="21">
        <f>F246*AO246</f>
        <v>0</v>
      </c>
      <c r="I246" s="21">
        <f>F246*AP246</f>
        <v>0</v>
      </c>
      <c r="J246" s="21">
        <f>F246*G246</f>
        <v>0</v>
      </c>
      <c r="K246" s="21">
        <v>0.00042</v>
      </c>
      <c r="L246" s="21">
        <f>F246*K246</f>
        <v>0.02016</v>
      </c>
      <c r="M246" s="34" t="s">
        <v>531</v>
      </c>
      <c r="Z246" s="38">
        <f>IF(AQ246="5",BJ246,0)</f>
        <v>0</v>
      </c>
      <c r="AB246" s="38">
        <f>IF(AQ246="1",BH246,0)</f>
        <v>0</v>
      </c>
      <c r="AC246" s="38">
        <f>IF(AQ246="1",BI246,0)</f>
        <v>0</v>
      </c>
      <c r="AD246" s="38">
        <f>IF(AQ246="7",BH246,0)</f>
        <v>0</v>
      </c>
      <c r="AE246" s="38">
        <f>IF(AQ246="7",BI246,0)</f>
        <v>0</v>
      </c>
      <c r="AF246" s="38">
        <f>IF(AQ246="2",BH246,0)</f>
        <v>0</v>
      </c>
      <c r="AG246" s="38">
        <f>IF(AQ246="2",BI246,0)</f>
        <v>0</v>
      </c>
      <c r="AH246" s="38">
        <f>IF(AQ246="0",BJ246,0)</f>
        <v>0</v>
      </c>
      <c r="AI246" s="30" t="s">
        <v>136</v>
      </c>
      <c r="AJ246" s="21">
        <f>IF(AN246=0,J246,0)</f>
        <v>0</v>
      </c>
      <c r="AK246" s="21">
        <f>IF(AN246=15,J246,0)</f>
        <v>0</v>
      </c>
      <c r="AL246" s="21">
        <f>IF(AN246=21,J246,0)</f>
        <v>0</v>
      </c>
      <c r="AN246" s="38">
        <v>15</v>
      </c>
      <c r="AO246" s="38">
        <f>G246*0.410305731163851</f>
        <v>0</v>
      </c>
      <c r="AP246" s="38">
        <f>G246*(1-0.410305731163851)</f>
        <v>0</v>
      </c>
      <c r="AQ246" s="34" t="s">
        <v>13</v>
      </c>
      <c r="AV246" s="38">
        <f>AW246+AX246</f>
        <v>0</v>
      </c>
      <c r="AW246" s="38">
        <f>F246*AO246</f>
        <v>0</v>
      </c>
      <c r="AX246" s="38">
        <f>F246*AP246</f>
        <v>0</v>
      </c>
      <c r="AY246" s="39" t="s">
        <v>561</v>
      </c>
      <c r="AZ246" s="39" t="s">
        <v>581</v>
      </c>
      <c r="BA246" s="30" t="s">
        <v>589</v>
      </c>
      <c r="BC246" s="38">
        <f>AW246+AX246</f>
        <v>0</v>
      </c>
      <c r="BD246" s="38">
        <f>G246/(100-BE246)*100</f>
        <v>0</v>
      </c>
      <c r="BE246" s="38">
        <v>0</v>
      </c>
      <c r="BF246" s="38">
        <f>L246</f>
        <v>0.02016</v>
      </c>
      <c r="BH246" s="21">
        <f>F246*AO246</f>
        <v>0</v>
      </c>
      <c r="BI246" s="21">
        <f>F246*AP246</f>
        <v>0</v>
      </c>
      <c r="BJ246" s="21">
        <f>F246*G246</f>
        <v>0</v>
      </c>
    </row>
    <row r="247" spans="1:62" ht="12.75">
      <c r="A247" s="5" t="s">
        <v>122</v>
      </c>
      <c r="B247" s="5" t="s">
        <v>136</v>
      </c>
      <c r="C247" s="5" t="s">
        <v>259</v>
      </c>
      <c r="D247" s="122" t="s">
        <v>486</v>
      </c>
      <c r="E247" s="5" t="s">
        <v>505</v>
      </c>
      <c r="F247" s="21">
        <v>52</v>
      </c>
      <c r="G247" s="21">
        <v>0</v>
      </c>
      <c r="H247" s="21">
        <f>F247*AO247</f>
        <v>0</v>
      </c>
      <c r="I247" s="21">
        <f>F247*AP247</f>
        <v>0</v>
      </c>
      <c r="J247" s="21">
        <f>F247*G247</f>
        <v>0</v>
      </c>
      <c r="K247" s="21">
        <v>0.00047</v>
      </c>
      <c r="L247" s="21">
        <f>F247*K247</f>
        <v>0.02444</v>
      </c>
      <c r="M247" s="34" t="s">
        <v>531</v>
      </c>
      <c r="Z247" s="38">
        <f>IF(AQ247="5",BJ247,0)</f>
        <v>0</v>
      </c>
      <c r="AB247" s="38">
        <f>IF(AQ247="1",BH247,0)</f>
        <v>0</v>
      </c>
      <c r="AC247" s="38">
        <f>IF(AQ247="1",BI247,0)</f>
        <v>0</v>
      </c>
      <c r="AD247" s="38">
        <f>IF(AQ247="7",BH247,0)</f>
        <v>0</v>
      </c>
      <c r="AE247" s="38">
        <f>IF(AQ247="7",BI247,0)</f>
        <v>0</v>
      </c>
      <c r="AF247" s="38">
        <f>IF(AQ247="2",BH247,0)</f>
        <v>0</v>
      </c>
      <c r="AG247" s="38">
        <f>IF(AQ247="2",BI247,0)</f>
        <v>0</v>
      </c>
      <c r="AH247" s="38">
        <f>IF(AQ247="0",BJ247,0)</f>
        <v>0</v>
      </c>
      <c r="AI247" s="30" t="s">
        <v>136</v>
      </c>
      <c r="AJ247" s="21">
        <f>IF(AN247=0,J247,0)</f>
        <v>0</v>
      </c>
      <c r="AK247" s="21">
        <f>IF(AN247=15,J247,0)</f>
        <v>0</v>
      </c>
      <c r="AL247" s="21">
        <f>IF(AN247=21,J247,0)</f>
        <v>0</v>
      </c>
      <c r="AN247" s="38">
        <v>15</v>
      </c>
      <c r="AO247" s="38">
        <f>G247*0.217792949606246</f>
        <v>0</v>
      </c>
      <c r="AP247" s="38">
        <f>G247*(1-0.217792949606246)</f>
        <v>0</v>
      </c>
      <c r="AQ247" s="34" t="s">
        <v>13</v>
      </c>
      <c r="AV247" s="38">
        <f>AW247+AX247</f>
        <v>0</v>
      </c>
      <c r="AW247" s="38">
        <f>F247*AO247</f>
        <v>0</v>
      </c>
      <c r="AX247" s="38">
        <f>F247*AP247</f>
        <v>0</v>
      </c>
      <c r="AY247" s="39" t="s">
        <v>561</v>
      </c>
      <c r="AZ247" s="39" t="s">
        <v>581</v>
      </c>
      <c r="BA247" s="30" t="s">
        <v>589</v>
      </c>
      <c r="BC247" s="38">
        <f>AW247+AX247</f>
        <v>0</v>
      </c>
      <c r="BD247" s="38">
        <f>G247/(100-BE247)*100</f>
        <v>0</v>
      </c>
      <c r="BE247" s="38">
        <v>0</v>
      </c>
      <c r="BF247" s="38">
        <f>L247</f>
        <v>0.02444</v>
      </c>
      <c r="BH247" s="21">
        <f>F247*AO247</f>
        <v>0</v>
      </c>
      <c r="BI247" s="21">
        <f>F247*AP247</f>
        <v>0</v>
      </c>
      <c r="BJ247" s="21">
        <f>F247*G247</f>
        <v>0</v>
      </c>
    </row>
    <row r="248" ht="12.75">
      <c r="D248" s="18" t="s">
        <v>487</v>
      </c>
    </row>
    <row r="249" spans="1:62" ht="12.75">
      <c r="A249" s="5" t="s">
        <v>123</v>
      </c>
      <c r="B249" s="5" t="s">
        <v>136</v>
      </c>
      <c r="C249" s="5" t="s">
        <v>260</v>
      </c>
      <c r="D249" s="122" t="s">
        <v>488</v>
      </c>
      <c r="E249" s="5" t="s">
        <v>505</v>
      </c>
      <c r="F249" s="21">
        <v>60</v>
      </c>
      <c r="G249" s="21">
        <v>0</v>
      </c>
      <c r="H249" s="21">
        <f>F249*AO249</f>
        <v>0</v>
      </c>
      <c r="I249" s="21">
        <f>F249*AP249</f>
        <v>0</v>
      </c>
      <c r="J249" s="21">
        <f>F249*G249</f>
        <v>0</v>
      </c>
      <c r="K249" s="21">
        <v>0.00027</v>
      </c>
      <c r="L249" s="21">
        <f>F249*K249</f>
        <v>0.0162</v>
      </c>
      <c r="M249" s="34" t="s">
        <v>531</v>
      </c>
      <c r="Z249" s="38">
        <f>IF(AQ249="5",BJ249,0)</f>
        <v>0</v>
      </c>
      <c r="AB249" s="38">
        <f>IF(AQ249="1",BH249,0)</f>
        <v>0</v>
      </c>
      <c r="AC249" s="38">
        <f>IF(AQ249="1",BI249,0)</f>
        <v>0</v>
      </c>
      <c r="AD249" s="38">
        <f>IF(AQ249="7",BH249,0)</f>
        <v>0</v>
      </c>
      <c r="AE249" s="38">
        <f>IF(AQ249="7",BI249,0)</f>
        <v>0</v>
      </c>
      <c r="AF249" s="38">
        <f>IF(AQ249="2",BH249,0)</f>
        <v>0</v>
      </c>
      <c r="AG249" s="38">
        <f>IF(AQ249="2",BI249,0)</f>
        <v>0</v>
      </c>
      <c r="AH249" s="38">
        <f>IF(AQ249="0",BJ249,0)</f>
        <v>0</v>
      </c>
      <c r="AI249" s="30" t="s">
        <v>136</v>
      </c>
      <c r="AJ249" s="21">
        <f>IF(AN249=0,J249,0)</f>
        <v>0</v>
      </c>
      <c r="AK249" s="21">
        <f>IF(AN249=15,J249,0)</f>
        <v>0</v>
      </c>
      <c r="AL249" s="21">
        <f>IF(AN249=21,J249,0)</f>
        <v>0</v>
      </c>
      <c r="AN249" s="38">
        <v>15</v>
      </c>
      <c r="AO249" s="38">
        <f>G249*0.20364682046925</f>
        <v>0</v>
      </c>
      <c r="AP249" s="38">
        <f>G249*(1-0.20364682046925)</f>
        <v>0</v>
      </c>
      <c r="AQ249" s="34" t="s">
        <v>13</v>
      </c>
      <c r="AV249" s="38">
        <f>AW249+AX249</f>
        <v>0</v>
      </c>
      <c r="AW249" s="38">
        <f>F249*AO249</f>
        <v>0</v>
      </c>
      <c r="AX249" s="38">
        <f>F249*AP249</f>
        <v>0</v>
      </c>
      <c r="AY249" s="39" t="s">
        <v>561</v>
      </c>
      <c r="AZ249" s="39" t="s">
        <v>581</v>
      </c>
      <c r="BA249" s="30" t="s">
        <v>589</v>
      </c>
      <c r="BC249" s="38">
        <f>AW249+AX249</f>
        <v>0</v>
      </c>
      <c r="BD249" s="38">
        <f>G249/(100-BE249)*100</f>
        <v>0</v>
      </c>
      <c r="BE249" s="38">
        <v>0</v>
      </c>
      <c r="BF249" s="38">
        <f>L249</f>
        <v>0.0162</v>
      </c>
      <c r="BH249" s="21">
        <f>F249*AO249</f>
        <v>0</v>
      </c>
      <c r="BI249" s="21">
        <f>F249*AP249</f>
        <v>0</v>
      </c>
      <c r="BJ249" s="21">
        <f>F249*G249</f>
        <v>0</v>
      </c>
    </row>
    <row r="250" spans="1:47" ht="12.75">
      <c r="A250" s="4"/>
      <c r="B250" s="14" t="s">
        <v>136</v>
      </c>
      <c r="C250" s="14" t="s">
        <v>89</v>
      </c>
      <c r="D250" s="121" t="s">
        <v>489</v>
      </c>
      <c r="E250" s="4" t="s">
        <v>6</v>
      </c>
      <c r="F250" s="4" t="s">
        <v>6</v>
      </c>
      <c r="G250" s="4" t="s">
        <v>6</v>
      </c>
      <c r="H250" s="41">
        <f>SUM(H251:H251)</f>
        <v>0</v>
      </c>
      <c r="I250" s="41">
        <f>SUM(I251:I251)</f>
        <v>0</v>
      </c>
      <c r="J250" s="41">
        <f>SUM(J251:J251)</f>
        <v>0</v>
      </c>
      <c r="K250" s="30"/>
      <c r="L250" s="41">
        <f>SUM(L251:L251)</f>
        <v>15.460875000000001</v>
      </c>
      <c r="M250" s="30"/>
      <c r="AI250" s="30" t="s">
        <v>136</v>
      </c>
      <c r="AS250" s="41">
        <f>SUM(AJ251:AJ251)</f>
        <v>0</v>
      </c>
      <c r="AT250" s="41">
        <f>SUM(AK251:AK251)</f>
        <v>0</v>
      </c>
      <c r="AU250" s="41">
        <f>SUM(AL251:AL251)</f>
        <v>0</v>
      </c>
    </row>
    <row r="251" spans="1:62" ht="12.75">
      <c r="A251" s="5" t="s">
        <v>124</v>
      </c>
      <c r="B251" s="5" t="s">
        <v>136</v>
      </c>
      <c r="C251" s="5" t="s">
        <v>261</v>
      </c>
      <c r="D251" s="122" t="s">
        <v>490</v>
      </c>
      <c r="E251" s="5" t="s">
        <v>510</v>
      </c>
      <c r="F251" s="21">
        <v>22.5</v>
      </c>
      <c r="G251" s="21">
        <v>0</v>
      </c>
      <c r="H251" s="21">
        <f>F251*AO251</f>
        <v>0</v>
      </c>
      <c r="I251" s="21">
        <f>F251*AP251</f>
        <v>0</v>
      </c>
      <c r="J251" s="21">
        <f>F251*G251</f>
        <v>0</v>
      </c>
      <c r="K251" s="21">
        <v>0.68715</v>
      </c>
      <c r="L251" s="21">
        <f>F251*K251</f>
        <v>15.460875000000001</v>
      </c>
      <c r="M251" s="34" t="s">
        <v>531</v>
      </c>
      <c r="Z251" s="38">
        <f>IF(AQ251="5",BJ251,0)</f>
        <v>0</v>
      </c>
      <c r="AB251" s="38">
        <f>IF(AQ251="1",BH251,0)</f>
        <v>0</v>
      </c>
      <c r="AC251" s="38">
        <f>IF(AQ251="1",BI251,0)</f>
        <v>0</v>
      </c>
      <c r="AD251" s="38">
        <f>IF(AQ251="7",BH251,0)</f>
        <v>0</v>
      </c>
      <c r="AE251" s="38">
        <f>IF(AQ251="7",BI251,0)</f>
        <v>0</v>
      </c>
      <c r="AF251" s="38">
        <f>IF(AQ251="2",BH251,0)</f>
        <v>0</v>
      </c>
      <c r="AG251" s="38">
        <f>IF(AQ251="2",BI251,0)</f>
        <v>0</v>
      </c>
      <c r="AH251" s="38">
        <f>IF(AQ251="0",BJ251,0)</f>
        <v>0</v>
      </c>
      <c r="AI251" s="30" t="s">
        <v>136</v>
      </c>
      <c r="AJ251" s="21">
        <f>IF(AN251=0,J251,0)</f>
        <v>0</v>
      </c>
      <c r="AK251" s="21">
        <f>IF(AN251=15,J251,0)</f>
        <v>0</v>
      </c>
      <c r="AL251" s="21">
        <f>IF(AN251=21,J251,0)</f>
        <v>0</v>
      </c>
      <c r="AN251" s="38">
        <v>15</v>
      </c>
      <c r="AO251" s="38">
        <f>G251*0.39276799092732</f>
        <v>0</v>
      </c>
      <c r="AP251" s="38">
        <f>G251*(1-0.39276799092732)</f>
        <v>0</v>
      </c>
      <c r="AQ251" s="34" t="s">
        <v>7</v>
      </c>
      <c r="AV251" s="38">
        <f>AW251+AX251</f>
        <v>0</v>
      </c>
      <c r="AW251" s="38">
        <f>F251*AO251</f>
        <v>0</v>
      </c>
      <c r="AX251" s="38">
        <f>F251*AP251</f>
        <v>0</v>
      </c>
      <c r="AY251" s="39" t="s">
        <v>562</v>
      </c>
      <c r="AZ251" s="39" t="s">
        <v>582</v>
      </c>
      <c r="BA251" s="30" t="s">
        <v>589</v>
      </c>
      <c r="BC251" s="38">
        <f>AW251+AX251</f>
        <v>0</v>
      </c>
      <c r="BD251" s="38">
        <f>G251/(100-BE251)*100</f>
        <v>0</v>
      </c>
      <c r="BE251" s="38">
        <v>0</v>
      </c>
      <c r="BF251" s="38">
        <f>L251</f>
        <v>15.460875000000001</v>
      </c>
      <c r="BH251" s="21">
        <f>F251*AO251</f>
        <v>0</v>
      </c>
      <c r="BI251" s="21">
        <f>F251*AP251</f>
        <v>0</v>
      </c>
      <c r="BJ251" s="21">
        <f>F251*G251</f>
        <v>0</v>
      </c>
    </row>
    <row r="252" ht="12.75">
      <c r="D252" s="18" t="s">
        <v>491</v>
      </c>
    </row>
    <row r="253" spans="1:13" ht="12.75">
      <c r="A253" s="6"/>
      <c r="B253" s="15" t="s">
        <v>137</v>
      </c>
      <c r="C253" s="15"/>
      <c r="D253" s="124" t="s">
        <v>492</v>
      </c>
      <c r="E253" s="6" t="s">
        <v>6</v>
      </c>
      <c r="F253" s="6" t="s">
        <v>6</v>
      </c>
      <c r="G253" s="6" t="s">
        <v>6</v>
      </c>
      <c r="H253" s="42">
        <f>H254+H260+H263+H267</f>
        <v>0</v>
      </c>
      <c r="I253" s="42">
        <f>I254+I260+I263+I267</f>
        <v>0</v>
      </c>
      <c r="J253" s="42">
        <f>J254+J260+J263+J267</f>
        <v>0</v>
      </c>
      <c r="K253" s="31"/>
      <c r="L253" s="42">
        <f>L254+L260+L263</f>
        <v>151.67524000000003</v>
      </c>
      <c r="M253" s="31"/>
    </row>
    <row r="254" spans="1:47" ht="12.75">
      <c r="A254" s="4"/>
      <c r="B254" s="14" t="s">
        <v>137</v>
      </c>
      <c r="C254" s="14" t="s">
        <v>18</v>
      </c>
      <c r="D254" s="121" t="s">
        <v>309</v>
      </c>
      <c r="E254" s="4" t="s">
        <v>6</v>
      </c>
      <c r="F254" s="4" t="s">
        <v>6</v>
      </c>
      <c r="G254" s="4" t="s">
        <v>6</v>
      </c>
      <c r="H254" s="41">
        <f>SUM(H255:H259)</f>
        <v>0</v>
      </c>
      <c r="I254" s="41">
        <f>SUM(I255:I259)</f>
        <v>0</v>
      </c>
      <c r="J254" s="41">
        <f>SUM(J255:J259)</f>
        <v>0</v>
      </c>
      <c r="K254" s="30"/>
      <c r="L254" s="41">
        <f>SUM(L255:L259)</f>
        <v>135.27</v>
      </c>
      <c r="M254" s="30"/>
      <c r="AI254" s="30" t="s">
        <v>137</v>
      </c>
      <c r="AS254" s="41">
        <f>SUM(AJ255:AJ259)</f>
        <v>0</v>
      </c>
      <c r="AT254" s="41">
        <f>SUM(AK255:AK259)</f>
        <v>0</v>
      </c>
      <c r="AU254" s="41">
        <f>SUM(AL255:AL259)</f>
        <v>0</v>
      </c>
    </row>
    <row r="255" spans="1:62" ht="12.75">
      <c r="A255" s="5" t="s">
        <v>125</v>
      </c>
      <c r="B255" s="5" t="s">
        <v>137</v>
      </c>
      <c r="C255" s="5" t="s">
        <v>155</v>
      </c>
      <c r="D255" s="122" t="s">
        <v>310</v>
      </c>
      <c r="E255" s="5" t="s">
        <v>507</v>
      </c>
      <c r="F255" s="21">
        <v>65.2</v>
      </c>
      <c r="G255" s="21">
        <v>0</v>
      </c>
      <c r="H255" s="21">
        <f>F255*AO255</f>
        <v>0</v>
      </c>
      <c r="I255" s="21">
        <f>F255*AP255</f>
        <v>0</v>
      </c>
      <c r="J255" s="21">
        <f>F255*G255</f>
        <v>0</v>
      </c>
      <c r="K255" s="21">
        <v>0</v>
      </c>
      <c r="L255" s="21">
        <f>F255*K255</f>
        <v>0</v>
      </c>
      <c r="M255" s="34" t="s">
        <v>531</v>
      </c>
      <c r="Z255" s="38">
        <f>IF(AQ255="5",BJ255,0)</f>
        <v>0</v>
      </c>
      <c r="AB255" s="38">
        <f>IF(AQ255="1",BH255,0)</f>
        <v>0</v>
      </c>
      <c r="AC255" s="38">
        <f>IF(AQ255="1",BI255,0)</f>
        <v>0</v>
      </c>
      <c r="AD255" s="38">
        <f>IF(AQ255="7",BH255,0)</f>
        <v>0</v>
      </c>
      <c r="AE255" s="38">
        <f>IF(AQ255="7",BI255,0)</f>
        <v>0</v>
      </c>
      <c r="AF255" s="38">
        <f>IF(AQ255="2",BH255,0)</f>
        <v>0</v>
      </c>
      <c r="AG255" s="38">
        <f>IF(AQ255="2",BI255,0)</f>
        <v>0</v>
      </c>
      <c r="AH255" s="38">
        <f>IF(AQ255="0",BJ255,0)</f>
        <v>0</v>
      </c>
      <c r="AI255" s="30" t="s">
        <v>137</v>
      </c>
      <c r="AJ255" s="21">
        <f>IF(AN255=0,J255,0)</f>
        <v>0</v>
      </c>
      <c r="AK255" s="21">
        <f>IF(AN255=15,J255,0)</f>
        <v>0</v>
      </c>
      <c r="AL255" s="21">
        <f>IF(AN255=21,J255,0)</f>
        <v>0</v>
      </c>
      <c r="AN255" s="38">
        <v>15</v>
      </c>
      <c r="AO255" s="38">
        <f>G255*0</f>
        <v>0</v>
      </c>
      <c r="AP255" s="38">
        <f>G255*(1-0)</f>
        <v>0</v>
      </c>
      <c r="AQ255" s="34" t="s">
        <v>7</v>
      </c>
      <c r="AV255" s="38">
        <f>AW255+AX255</f>
        <v>0</v>
      </c>
      <c r="AW255" s="38">
        <f>F255*AO255</f>
        <v>0</v>
      </c>
      <c r="AX255" s="38">
        <f>F255*AP255</f>
        <v>0</v>
      </c>
      <c r="AY255" s="39" t="s">
        <v>546</v>
      </c>
      <c r="AZ255" s="39" t="s">
        <v>583</v>
      </c>
      <c r="BA255" s="30" t="s">
        <v>590</v>
      </c>
      <c r="BC255" s="38">
        <f>AW255+AX255</f>
        <v>0</v>
      </c>
      <c r="BD255" s="38">
        <f>G255/(100-BE255)*100</f>
        <v>0</v>
      </c>
      <c r="BE255" s="38">
        <v>0</v>
      </c>
      <c r="BF255" s="38">
        <f>L255</f>
        <v>0</v>
      </c>
      <c r="BH255" s="21">
        <f>F255*AO255</f>
        <v>0</v>
      </c>
      <c r="BI255" s="21">
        <f>F255*AP255</f>
        <v>0</v>
      </c>
      <c r="BJ255" s="21">
        <f>F255*G255</f>
        <v>0</v>
      </c>
    </row>
    <row r="256" spans="1:62" ht="12.75">
      <c r="A256" s="5" t="s">
        <v>126</v>
      </c>
      <c r="B256" s="5" t="s">
        <v>137</v>
      </c>
      <c r="C256" s="5" t="s">
        <v>262</v>
      </c>
      <c r="D256" s="122" t="s">
        <v>493</v>
      </c>
      <c r="E256" s="5" t="s">
        <v>507</v>
      </c>
      <c r="F256" s="21">
        <v>51</v>
      </c>
      <c r="G256" s="21">
        <v>0</v>
      </c>
      <c r="H256" s="21">
        <f>F256*AO256</f>
        <v>0</v>
      </c>
      <c r="I256" s="21">
        <f>F256*AP256</f>
        <v>0</v>
      </c>
      <c r="J256" s="21">
        <f>F256*G256</f>
        <v>0</v>
      </c>
      <c r="K256" s="21">
        <v>0</v>
      </c>
      <c r="L256" s="21">
        <f>F256*K256</f>
        <v>0</v>
      </c>
      <c r="M256" s="34" t="s">
        <v>531</v>
      </c>
      <c r="Z256" s="38">
        <f>IF(AQ256="5",BJ256,0)</f>
        <v>0</v>
      </c>
      <c r="AB256" s="38">
        <f>IF(AQ256="1",BH256,0)</f>
        <v>0</v>
      </c>
      <c r="AC256" s="38">
        <f>IF(AQ256="1",BI256,0)</f>
        <v>0</v>
      </c>
      <c r="AD256" s="38">
        <f>IF(AQ256="7",BH256,0)</f>
        <v>0</v>
      </c>
      <c r="AE256" s="38">
        <f>IF(AQ256="7",BI256,0)</f>
        <v>0</v>
      </c>
      <c r="AF256" s="38">
        <f>IF(AQ256="2",BH256,0)</f>
        <v>0</v>
      </c>
      <c r="AG256" s="38">
        <f>IF(AQ256="2",BI256,0)</f>
        <v>0</v>
      </c>
      <c r="AH256" s="38">
        <f>IF(AQ256="0",BJ256,0)</f>
        <v>0</v>
      </c>
      <c r="AI256" s="30" t="s">
        <v>137</v>
      </c>
      <c r="AJ256" s="21">
        <f>IF(AN256=0,J256,0)</f>
        <v>0</v>
      </c>
      <c r="AK256" s="21">
        <f>IF(AN256=15,J256,0)</f>
        <v>0</v>
      </c>
      <c r="AL256" s="21">
        <f>IF(AN256=21,J256,0)</f>
        <v>0</v>
      </c>
      <c r="AN256" s="38">
        <v>15</v>
      </c>
      <c r="AO256" s="38">
        <f>G256*0</f>
        <v>0</v>
      </c>
      <c r="AP256" s="38">
        <f>G256*(1-0)</f>
        <v>0</v>
      </c>
      <c r="AQ256" s="34" t="s">
        <v>8</v>
      </c>
      <c r="AV256" s="38">
        <f>AW256+AX256</f>
        <v>0</v>
      </c>
      <c r="AW256" s="38">
        <f>F256*AO256</f>
        <v>0</v>
      </c>
      <c r="AX256" s="38">
        <f>F256*AP256</f>
        <v>0</v>
      </c>
      <c r="AY256" s="39" t="s">
        <v>546</v>
      </c>
      <c r="AZ256" s="39" t="s">
        <v>583</v>
      </c>
      <c r="BA256" s="30" t="s">
        <v>590</v>
      </c>
      <c r="BC256" s="38">
        <f>AW256+AX256</f>
        <v>0</v>
      </c>
      <c r="BD256" s="38">
        <f>G256/(100-BE256)*100</f>
        <v>0</v>
      </c>
      <c r="BE256" s="38">
        <v>0</v>
      </c>
      <c r="BF256" s="38">
        <f>L256</f>
        <v>0</v>
      </c>
      <c r="BH256" s="21">
        <f>F256*AO256</f>
        <v>0</v>
      </c>
      <c r="BI256" s="21">
        <f>F256*AP256</f>
        <v>0</v>
      </c>
      <c r="BJ256" s="21">
        <f>F256*G256</f>
        <v>0</v>
      </c>
    </row>
    <row r="257" ht="12.75">
      <c r="D257" s="18" t="s">
        <v>494</v>
      </c>
    </row>
    <row r="258" spans="1:62" ht="12.75">
      <c r="A258" s="5" t="s">
        <v>127</v>
      </c>
      <c r="B258" s="5" t="s">
        <v>137</v>
      </c>
      <c r="C258" s="5" t="s">
        <v>263</v>
      </c>
      <c r="D258" s="122" t="s">
        <v>495</v>
      </c>
      <c r="E258" s="5" t="s">
        <v>507</v>
      </c>
      <c r="F258" s="21">
        <v>70</v>
      </c>
      <c r="G258" s="21">
        <v>0</v>
      </c>
      <c r="H258" s="21">
        <f>F258*AO258</f>
        <v>0</v>
      </c>
      <c r="I258" s="21">
        <f>F258*AP258</f>
        <v>0</v>
      </c>
      <c r="J258" s="21">
        <f>F258*G258</f>
        <v>0</v>
      </c>
      <c r="K258" s="21">
        <v>0</v>
      </c>
      <c r="L258" s="21">
        <f>F258*K258</f>
        <v>0</v>
      </c>
      <c r="M258" s="34" t="s">
        <v>531</v>
      </c>
      <c r="Z258" s="38">
        <f>IF(AQ258="5",BJ258,0)</f>
        <v>0</v>
      </c>
      <c r="AB258" s="38">
        <f>IF(AQ258="1",BH258,0)</f>
        <v>0</v>
      </c>
      <c r="AC258" s="38">
        <f>IF(AQ258="1",BI258,0)</f>
        <v>0</v>
      </c>
      <c r="AD258" s="38">
        <f>IF(AQ258="7",BH258,0)</f>
        <v>0</v>
      </c>
      <c r="AE258" s="38">
        <f>IF(AQ258="7",BI258,0)</f>
        <v>0</v>
      </c>
      <c r="AF258" s="38">
        <f>IF(AQ258="2",BH258,0)</f>
        <v>0</v>
      </c>
      <c r="AG258" s="38">
        <f>IF(AQ258="2",BI258,0)</f>
        <v>0</v>
      </c>
      <c r="AH258" s="38">
        <f>IF(AQ258="0",BJ258,0)</f>
        <v>0</v>
      </c>
      <c r="AI258" s="30" t="s">
        <v>137</v>
      </c>
      <c r="AJ258" s="21">
        <f>IF(AN258=0,J258,0)</f>
        <v>0</v>
      </c>
      <c r="AK258" s="21">
        <f>IF(AN258=15,J258,0)</f>
        <v>0</v>
      </c>
      <c r="AL258" s="21">
        <f>IF(AN258=21,J258,0)</f>
        <v>0</v>
      </c>
      <c r="AN258" s="38">
        <v>15</v>
      </c>
      <c r="AO258" s="38">
        <f>G258*0</f>
        <v>0</v>
      </c>
      <c r="AP258" s="38">
        <f>G258*(1-0)</f>
        <v>0</v>
      </c>
      <c r="AQ258" s="34" t="s">
        <v>7</v>
      </c>
      <c r="AV258" s="38">
        <f>AW258+AX258</f>
        <v>0</v>
      </c>
      <c r="AW258" s="38">
        <f>F258*AO258</f>
        <v>0</v>
      </c>
      <c r="AX258" s="38">
        <f>F258*AP258</f>
        <v>0</v>
      </c>
      <c r="AY258" s="39" t="s">
        <v>546</v>
      </c>
      <c r="AZ258" s="39" t="s">
        <v>583</v>
      </c>
      <c r="BA258" s="30" t="s">
        <v>590</v>
      </c>
      <c r="BC258" s="38">
        <f>AW258+AX258</f>
        <v>0</v>
      </c>
      <c r="BD258" s="38">
        <f>G258/(100-BE258)*100</f>
        <v>0</v>
      </c>
      <c r="BE258" s="38">
        <v>0</v>
      </c>
      <c r="BF258" s="38">
        <f>L258</f>
        <v>0</v>
      </c>
      <c r="BH258" s="21">
        <f>F258*AO258</f>
        <v>0</v>
      </c>
      <c r="BI258" s="21">
        <f>F258*AP258</f>
        <v>0</v>
      </c>
      <c r="BJ258" s="21">
        <f>F258*G258</f>
        <v>0</v>
      </c>
    </row>
    <row r="259" spans="1:62" ht="12.75">
      <c r="A259" s="5" t="s">
        <v>128</v>
      </c>
      <c r="B259" s="5" t="s">
        <v>137</v>
      </c>
      <c r="C259" s="5" t="s">
        <v>157</v>
      </c>
      <c r="D259" s="122" t="s">
        <v>320</v>
      </c>
      <c r="E259" s="5" t="s">
        <v>505</v>
      </c>
      <c r="F259" s="21">
        <v>270</v>
      </c>
      <c r="G259" s="21">
        <v>0</v>
      </c>
      <c r="H259" s="21">
        <f>F259*AO259</f>
        <v>0</v>
      </c>
      <c r="I259" s="21">
        <f>F259*AP259</f>
        <v>0</v>
      </c>
      <c r="J259" s="21">
        <f>F259*G259</f>
        <v>0</v>
      </c>
      <c r="K259" s="21">
        <v>0.501</v>
      </c>
      <c r="L259" s="21">
        <f>F259*K259</f>
        <v>135.27</v>
      </c>
      <c r="M259" s="34" t="s">
        <v>531</v>
      </c>
      <c r="Z259" s="38">
        <f>IF(AQ259="5",BJ259,0)</f>
        <v>0</v>
      </c>
      <c r="AB259" s="38">
        <f>IF(AQ259="1",BH259,0)</f>
        <v>0</v>
      </c>
      <c r="AC259" s="38">
        <f>IF(AQ259="1",BI259,0)</f>
        <v>0</v>
      </c>
      <c r="AD259" s="38">
        <f>IF(AQ259="7",BH259,0)</f>
        <v>0</v>
      </c>
      <c r="AE259" s="38">
        <f>IF(AQ259="7",BI259,0)</f>
        <v>0</v>
      </c>
      <c r="AF259" s="38">
        <f>IF(AQ259="2",BH259,0)</f>
        <v>0</v>
      </c>
      <c r="AG259" s="38">
        <f>IF(AQ259="2",BI259,0)</f>
        <v>0</v>
      </c>
      <c r="AH259" s="38">
        <f>IF(AQ259="0",BJ259,0)</f>
        <v>0</v>
      </c>
      <c r="AI259" s="30" t="s">
        <v>137</v>
      </c>
      <c r="AJ259" s="21">
        <f>IF(AN259=0,J259,0)</f>
        <v>0</v>
      </c>
      <c r="AK259" s="21">
        <f>IF(AN259=15,J259,0)</f>
        <v>0</v>
      </c>
      <c r="AL259" s="21">
        <f>IF(AN259=21,J259,0)</f>
        <v>0</v>
      </c>
      <c r="AN259" s="38">
        <v>15</v>
      </c>
      <c r="AO259" s="38">
        <f>G259*0.846259168704156</f>
        <v>0</v>
      </c>
      <c r="AP259" s="38">
        <f>G259*(1-0.846259168704156)</f>
        <v>0</v>
      </c>
      <c r="AQ259" s="34" t="s">
        <v>7</v>
      </c>
      <c r="AV259" s="38">
        <f>AW259+AX259</f>
        <v>0</v>
      </c>
      <c r="AW259" s="38">
        <f>F259*AO259</f>
        <v>0</v>
      </c>
      <c r="AX259" s="38">
        <f>F259*AP259</f>
        <v>0</v>
      </c>
      <c r="AY259" s="39" t="s">
        <v>546</v>
      </c>
      <c r="AZ259" s="39" t="s">
        <v>583</v>
      </c>
      <c r="BA259" s="30" t="s">
        <v>590</v>
      </c>
      <c r="BC259" s="38">
        <f>AW259+AX259</f>
        <v>0</v>
      </c>
      <c r="BD259" s="38">
        <f>G259/(100-BE259)*100</f>
        <v>0</v>
      </c>
      <c r="BE259" s="38">
        <v>0</v>
      </c>
      <c r="BF259" s="38">
        <f>L259</f>
        <v>135.27</v>
      </c>
      <c r="BH259" s="21">
        <f>F259*AO259</f>
        <v>0</v>
      </c>
      <c r="BI259" s="21">
        <f>F259*AP259</f>
        <v>0</v>
      </c>
      <c r="BJ259" s="21">
        <f>F259*G259</f>
        <v>0</v>
      </c>
    </row>
    <row r="260" spans="1:47" ht="25.5">
      <c r="A260" s="4"/>
      <c r="B260" s="14" t="s">
        <v>137</v>
      </c>
      <c r="C260" s="14" t="s">
        <v>64</v>
      </c>
      <c r="D260" s="121" t="s">
        <v>496</v>
      </c>
      <c r="E260" s="4" t="s">
        <v>6</v>
      </c>
      <c r="F260" s="4" t="s">
        <v>6</v>
      </c>
      <c r="G260" s="4" t="s">
        <v>6</v>
      </c>
      <c r="H260" s="41">
        <f>SUM(H261:H261)</f>
        <v>0</v>
      </c>
      <c r="I260" s="41">
        <f>SUM(I261:I261)</f>
        <v>0</v>
      </c>
      <c r="J260" s="41">
        <f>SUM(J261:J261)</f>
        <v>0</v>
      </c>
      <c r="K260" s="30"/>
      <c r="L260" s="41">
        <f>SUM(L261:L261)</f>
        <v>9.9198</v>
      </c>
      <c r="M260" s="30"/>
      <c r="AI260" s="30" t="s">
        <v>137</v>
      </c>
      <c r="AS260" s="41">
        <f>SUM(AJ261:AJ261)</f>
        <v>0</v>
      </c>
      <c r="AT260" s="41">
        <f>SUM(AK261:AK261)</f>
        <v>0</v>
      </c>
      <c r="AU260" s="41">
        <f>SUM(AL261:AL261)</f>
        <v>0</v>
      </c>
    </row>
    <row r="261" spans="1:62" ht="12.75">
      <c r="A261" s="5" t="s">
        <v>129</v>
      </c>
      <c r="B261" s="5" t="s">
        <v>137</v>
      </c>
      <c r="C261" s="5" t="s">
        <v>264</v>
      </c>
      <c r="D261" s="122" t="s">
        <v>497</v>
      </c>
      <c r="E261" s="5" t="s">
        <v>505</v>
      </c>
      <c r="F261" s="21">
        <v>270</v>
      </c>
      <c r="G261" s="21">
        <v>0</v>
      </c>
      <c r="H261" s="21">
        <f>F261*AO261</f>
        <v>0</v>
      </c>
      <c r="I261" s="21">
        <f>F261*AP261</f>
        <v>0</v>
      </c>
      <c r="J261" s="21">
        <f>F261*G261</f>
        <v>0</v>
      </c>
      <c r="K261" s="21">
        <v>0.03674</v>
      </c>
      <c r="L261" s="21">
        <f>F261*K261</f>
        <v>9.9198</v>
      </c>
      <c r="M261" s="34" t="s">
        <v>531</v>
      </c>
      <c r="Z261" s="38">
        <f>IF(AQ261="5",BJ261,0)</f>
        <v>0</v>
      </c>
      <c r="AB261" s="38">
        <f>IF(AQ261="1",BH261,0)</f>
        <v>0</v>
      </c>
      <c r="AC261" s="38">
        <f>IF(AQ261="1",BI261,0)</f>
        <v>0</v>
      </c>
      <c r="AD261" s="38">
        <f>IF(AQ261="7",BH261,0)</f>
        <v>0</v>
      </c>
      <c r="AE261" s="38">
        <f>IF(AQ261="7",BI261,0)</f>
        <v>0</v>
      </c>
      <c r="AF261" s="38">
        <f>IF(AQ261="2",BH261,0)</f>
        <v>0</v>
      </c>
      <c r="AG261" s="38">
        <f>IF(AQ261="2",BI261,0)</f>
        <v>0</v>
      </c>
      <c r="AH261" s="38">
        <f>IF(AQ261="0",BJ261,0)</f>
        <v>0</v>
      </c>
      <c r="AI261" s="30" t="s">
        <v>137</v>
      </c>
      <c r="AJ261" s="21">
        <f>IF(AN261=0,J261,0)</f>
        <v>0</v>
      </c>
      <c r="AK261" s="21">
        <f>IF(AN261=15,J261,0)</f>
        <v>0</v>
      </c>
      <c r="AL261" s="21">
        <f>IF(AN261=21,J261,0)</f>
        <v>0</v>
      </c>
      <c r="AN261" s="38">
        <v>15</v>
      </c>
      <c r="AO261" s="38">
        <f>G261*0.931986258588382</f>
        <v>0</v>
      </c>
      <c r="AP261" s="38">
        <f>G261*(1-0.931986258588382)</f>
        <v>0</v>
      </c>
      <c r="AQ261" s="34" t="s">
        <v>7</v>
      </c>
      <c r="AV261" s="38">
        <f>AW261+AX261</f>
        <v>0</v>
      </c>
      <c r="AW261" s="38">
        <f>F261*AO261</f>
        <v>0</v>
      </c>
      <c r="AX261" s="38">
        <f>F261*AP261</f>
        <v>0</v>
      </c>
      <c r="AY261" s="39" t="s">
        <v>563</v>
      </c>
      <c r="AZ261" s="39" t="s">
        <v>584</v>
      </c>
      <c r="BA261" s="30" t="s">
        <v>590</v>
      </c>
      <c r="BC261" s="38">
        <f>AW261+AX261</f>
        <v>0</v>
      </c>
      <c r="BD261" s="38">
        <f>G261/(100-BE261)*100</f>
        <v>0</v>
      </c>
      <c r="BE261" s="38">
        <v>0</v>
      </c>
      <c r="BF261" s="38">
        <f>L261</f>
        <v>9.9198</v>
      </c>
      <c r="BH261" s="21">
        <f>F261*AO261</f>
        <v>0</v>
      </c>
      <c r="BI261" s="21">
        <f>F261*AP261</f>
        <v>0</v>
      </c>
      <c r="BJ261" s="21">
        <f>F261*G261</f>
        <v>0</v>
      </c>
    </row>
    <row r="262" ht="25.5">
      <c r="D262" s="18" t="s">
        <v>498</v>
      </c>
    </row>
    <row r="263" spans="1:47" ht="38.25">
      <c r="A263" s="4"/>
      <c r="B263" s="14" t="s">
        <v>137</v>
      </c>
      <c r="C263" s="14" t="s">
        <v>97</v>
      </c>
      <c r="D263" s="121" t="s">
        <v>324</v>
      </c>
      <c r="E263" s="4" t="s">
        <v>6</v>
      </c>
      <c r="F263" s="4" t="s">
        <v>6</v>
      </c>
      <c r="G263" s="4" t="s">
        <v>6</v>
      </c>
      <c r="H263" s="41">
        <f>SUM(H264:H266)</f>
        <v>0</v>
      </c>
      <c r="I263" s="41">
        <f>SUM(I264:I266)</f>
        <v>0</v>
      </c>
      <c r="J263" s="41">
        <f>SUM(J264:J264)</f>
        <v>0</v>
      </c>
      <c r="K263" s="30"/>
      <c r="L263" s="41">
        <f>SUM(L264:L264)</f>
        <v>6.48544</v>
      </c>
      <c r="M263" s="30"/>
      <c r="AI263" s="30" t="s">
        <v>137</v>
      </c>
      <c r="AS263" s="41">
        <f>SUM(AJ264:AJ264)</f>
        <v>0</v>
      </c>
      <c r="AT263" s="41">
        <f>SUM(AK264:AK264)</f>
        <v>0</v>
      </c>
      <c r="AU263" s="41">
        <f>SUM(AL264:AL264)</f>
        <v>0</v>
      </c>
    </row>
    <row r="264" spans="1:62" ht="25.5">
      <c r="A264" s="5" t="s">
        <v>130</v>
      </c>
      <c r="B264" s="5" t="s">
        <v>137</v>
      </c>
      <c r="C264" s="5" t="s">
        <v>265</v>
      </c>
      <c r="D264" s="122" t="s">
        <v>325</v>
      </c>
      <c r="E264" s="5" t="s">
        <v>510</v>
      </c>
      <c r="F264" s="21">
        <v>52</v>
      </c>
      <c r="G264" s="21">
        <v>0</v>
      </c>
      <c r="H264" s="21">
        <f>F264*AO264</f>
        <v>0</v>
      </c>
      <c r="I264" s="21">
        <f>F264*AP264</f>
        <v>0</v>
      </c>
      <c r="J264" s="21">
        <f>F264*G264</f>
        <v>0</v>
      </c>
      <c r="K264" s="21">
        <v>0.12472</v>
      </c>
      <c r="L264" s="21">
        <f>F264*K264</f>
        <v>6.48544</v>
      </c>
      <c r="M264" s="34" t="s">
        <v>531</v>
      </c>
      <c r="Z264" s="38">
        <f>IF(AQ264="5",BJ264,0)</f>
        <v>0</v>
      </c>
      <c r="AB264" s="38">
        <f>IF(AQ264="1",BH264,0)</f>
        <v>0</v>
      </c>
      <c r="AC264" s="38">
        <f>IF(AQ264="1",BI264,0)</f>
        <v>0</v>
      </c>
      <c r="AD264" s="38">
        <f>IF(AQ264="7",BH264,0)</f>
        <v>0</v>
      </c>
      <c r="AE264" s="38">
        <f>IF(AQ264="7",BI264,0)</f>
        <v>0</v>
      </c>
      <c r="AF264" s="38">
        <f>IF(AQ264="2",BH264,0)</f>
        <v>0</v>
      </c>
      <c r="AG264" s="38">
        <f>IF(AQ264="2",BI264,0)</f>
        <v>0</v>
      </c>
      <c r="AH264" s="38">
        <f>IF(AQ264="0",BJ264,0)</f>
        <v>0</v>
      </c>
      <c r="AI264" s="30" t="s">
        <v>137</v>
      </c>
      <c r="AJ264" s="21">
        <f>IF(AN264=0,J264,0)</f>
        <v>0</v>
      </c>
      <c r="AK264" s="21">
        <f>IF(AN264=15,J264,0)</f>
        <v>0</v>
      </c>
      <c r="AL264" s="21">
        <f>IF(AN264=21,J264,0)</f>
        <v>0</v>
      </c>
      <c r="AN264" s="38">
        <v>15</v>
      </c>
      <c r="AO264" s="38">
        <f>G264*0.696786040657275</f>
        <v>0</v>
      </c>
      <c r="AP264" s="38">
        <f>G264*(1-0.696786040657275)</f>
        <v>0</v>
      </c>
      <c r="AQ264" s="34" t="s">
        <v>7</v>
      </c>
      <c r="AV264" s="38">
        <f>AW264+AX264</f>
        <v>0</v>
      </c>
      <c r="AW264" s="38">
        <f>F264*AO264</f>
        <v>0</v>
      </c>
      <c r="AX264" s="38">
        <f>F264*AP264</f>
        <v>0</v>
      </c>
      <c r="AY264" s="39" t="s">
        <v>550</v>
      </c>
      <c r="AZ264" s="39" t="s">
        <v>585</v>
      </c>
      <c r="BA264" s="30" t="s">
        <v>590</v>
      </c>
      <c r="BC264" s="38">
        <f>AW264+AX264</f>
        <v>0</v>
      </c>
      <c r="BD264" s="38">
        <f>G264/(100-BE264)*100</f>
        <v>0</v>
      </c>
      <c r="BE264" s="38">
        <v>0</v>
      </c>
      <c r="BF264" s="38">
        <f>L264</f>
        <v>6.48544</v>
      </c>
      <c r="BH264" s="21">
        <f>F264*AO264</f>
        <v>0</v>
      </c>
      <c r="BI264" s="21">
        <f>F264*AP264</f>
        <v>0</v>
      </c>
      <c r="BJ264" s="21">
        <f>F264*G264</f>
        <v>0</v>
      </c>
    </row>
    <row r="265" ht="12.75">
      <c r="D265" s="18" t="s">
        <v>499</v>
      </c>
    </row>
    <row r="266" spans="1:48" ht="25.5">
      <c r="A266" s="5" t="s">
        <v>671</v>
      </c>
      <c r="B266" s="5" t="s">
        <v>137</v>
      </c>
      <c r="C266" s="5" t="s">
        <v>668</v>
      </c>
      <c r="D266" s="122" t="s">
        <v>669</v>
      </c>
      <c r="E266" s="5" t="s">
        <v>510</v>
      </c>
      <c r="F266" s="21">
        <v>35</v>
      </c>
      <c r="G266" s="21">
        <v>0</v>
      </c>
      <c r="H266" s="21">
        <f>F266*AE266</f>
        <v>0</v>
      </c>
      <c r="I266" s="21">
        <f>J266-H266</f>
        <v>0</v>
      </c>
      <c r="J266" s="21">
        <f>F266*G266</f>
        <v>0</v>
      </c>
      <c r="K266" s="21">
        <v>0.09471</v>
      </c>
      <c r="L266" s="21">
        <f>F266*K266</f>
        <v>3.3148500000000003</v>
      </c>
      <c r="M266" s="34"/>
      <c r="P266" s="38">
        <f>IF(AG266="5",J266,0)</f>
        <v>0</v>
      </c>
      <c r="R266" s="38">
        <f>IF(AG266="1",H266,0)</f>
        <v>0</v>
      </c>
      <c r="S266" s="38">
        <f>IF(AG266="1",I266,0)</f>
        <v>0</v>
      </c>
      <c r="T266" s="38">
        <f>IF(AG266="7",H266,0)</f>
        <v>0</v>
      </c>
      <c r="U266" s="38">
        <f>IF(AG266="7",I266,0)</f>
        <v>0</v>
      </c>
      <c r="V266" s="38">
        <f>IF(AG266="2",H266,0)</f>
        <v>0</v>
      </c>
      <c r="W266" s="38">
        <f>IF(AG266="2",I266,0)</f>
        <v>0</v>
      </c>
      <c r="X266" s="38">
        <f>IF(AG266="0",J266,0)</f>
        <v>0</v>
      </c>
      <c r="Y266" s="30" t="s">
        <v>137</v>
      </c>
      <c r="Z266" s="21">
        <f>IF(AD266=0,J266,0)</f>
        <v>0</v>
      </c>
      <c r="AA266" s="21">
        <f>IF(AD266=15,J266,0)</f>
        <v>0</v>
      </c>
      <c r="AB266" s="21">
        <f>IF(AD266=21,J266,0)</f>
        <v>0</v>
      </c>
      <c r="AD266" s="38">
        <v>21</v>
      </c>
      <c r="AE266" s="38">
        <f>G266*0.670437064519048</f>
        <v>0</v>
      </c>
      <c r="AF266" s="38">
        <f>G266*(1-0.670437064519048)</f>
        <v>0</v>
      </c>
      <c r="AG266" s="34" t="s">
        <v>7</v>
      </c>
      <c r="AM266" s="38">
        <f>F266*AE266</f>
        <v>0</v>
      </c>
      <c r="AN266" s="38">
        <f>F266*AF266</f>
        <v>0</v>
      </c>
      <c r="AO266" s="39" t="s">
        <v>550</v>
      </c>
      <c r="AP266" s="39" t="s">
        <v>585</v>
      </c>
      <c r="AQ266" s="30" t="s">
        <v>590</v>
      </c>
      <c r="AS266" s="38">
        <f>AM266+AN266</f>
        <v>0</v>
      </c>
      <c r="AT266" s="38">
        <f>G266/(100-AU266)*100</f>
        <v>0</v>
      </c>
      <c r="AU266" s="38">
        <v>0</v>
      </c>
      <c r="AV266" s="38">
        <f>L266</f>
        <v>3.3148500000000003</v>
      </c>
    </row>
    <row r="267" spans="1:12" ht="12.75">
      <c r="A267" s="4"/>
      <c r="B267" s="14" t="s">
        <v>137</v>
      </c>
      <c r="C267" s="14"/>
      <c r="D267" s="130" t="s">
        <v>625</v>
      </c>
      <c r="E267" s="131"/>
      <c r="F267" s="131"/>
      <c r="G267" s="131"/>
      <c r="H267" s="41">
        <f>SUM(H268:H290)</f>
        <v>0</v>
      </c>
      <c r="I267" s="41">
        <f>SUM(I268:I290)</f>
        <v>0</v>
      </c>
      <c r="J267" s="41">
        <f>H267+I267</f>
        <v>0</v>
      </c>
      <c r="K267" s="30"/>
      <c r="L267" s="41">
        <f>SUM(L268:L268)</f>
        <v>0.00105</v>
      </c>
    </row>
    <row r="268" spans="1:12" ht="12.75">
      <c r="A268" s="5" t="s">
        <v>672</v>
      </c>
      <c r="B268" s="5" t="s">
        <v>137</v>
      </c>
      <c r="C268" s="132"/>
      <c r="D268" s="133" t="s">
        <v>639</v>
      </c>
      <c r="E268" s="132" t="s">
        <v>640</v>
      </c>
      <c r="F268" s="21">
        <v>1</v>
      </c>
      <c r="G268" s="21">
        <v>0</v>
      </c>
      <c r="H268" s="21">
        <f>F268*AE268</f>
        <v>0</v>
      </c>
      <c r="I268" s="21">
        <f>J268-H268</f>
        <v>0</v>
      </c>
      <c r="J268" s="21">
        <f>F268*G268</f>
        <v>0</v>
      </c>
      <c r="K268" s="21">
        <v>0.00105</v>
      </c>
      <c r="L268" s="21">
        <f>F268*K268</f>
        <v>0.00105</v>
      </c>
    </row>
    <row r="269" spans="1:12" ht="12.75">
      <c r="A269" s="134"/>
      <c r="B269" s="134"/>
      <c r="C269" s="134"/>
      <c r="D269" s="135" t="s">
        <v>641</v>
      </c>
      <c r="E269" s="134"/>
      <c r="F269" s="134"/>
      <c r="G269" s="134"/>
      <c r="H269" s="134"/>
      <c r="I269" s="134"/>
      <c r="J269" s="134"/>
      <c r="K269" s="134"/>
      <c r="L269" s="134"/>
    </row>
    <row r="270" spans="1:12" ht="12.75">
      <c r="A270" s="7" t="s">
        <v>673</v>
      </c>
      <c r="B270" s="7" t="s">
        <v>137</v>
      </c>
      <c r="C270" s="132"/>
      <c r="D270" s="136" t="s">
        <v>643</v>
      </c>
      <c r="E270" s="137" t="s">
        <v>511</v>
      </c>
      <c r="F270" s="23">
        <v>1</v>
      </c>
      <c r="G270" s="23">
        <v>0</v>
      </c>
      <c r="H270" s="23">
        <v>0</v>
      </c>
      <c r="I270" s="23">
        <f>J270-H270</f>
        <v>0</v>
      </c>
      <c r="J270" s="23">
        <f>F270*G270</f>
        <v>0</v>
      </c>
      <c r="K270" s="23">
        <v>0.0025</v>
      </c>
      <c r="L270" s="23">
        <f>F270*K270</f>
        <v>0.0025</v>
      </c>
    </row>
    <row r="271" spans="1:12" ht="12.75">
      <c r="A271" s="7" t="s">
        <v>674</v>
      </c>
      <c r="B271" s="7" t="s">
        <v>137</v>
      </c>
      <c r="C271" s="132"/>
      <c r="D271" s="136" t="s">
        <v>670</v>
      </c>
      <c r="E271" s="137" t="s">
        <v>505</v>
      </c>
      <c r="F271" s="23">
        <v>35</v>
      </c>
      <c r="G271" s="23">
        <v>0</v>
      </c>
      <c r="H271" s="23">
        <f>F271*AE271</f>
        <v>0</v>
      </c>
      <c r="I271" s="23">
        <f>J271-H271</f>
        <v>0</v>
      </c>
      <c r="J271" s="23">
        <f>F271*G271</f>
        <v>0</v>
      </c>
      <c r="K271" s="23">
        <v>0.0025</v>
      </c>
      <c r="L271" s="23">
        <f>F271*K271</f>
        <v>0.08750000000000001</v>
      </c>
    </row>
    <row r="272" spans="1:12" ht="12.75">
      <c r="A272" s="5" t="s">
        <v>675</v>
      </c>
      <c r="B272" s="5" t="s">
        <v>137</v>
      </c>
      <c r="C272" s="132"/>
      <c r="D272" s="133" t="s">
        <v>645</v>
      </c>
      <c r="E272" s="132" t="s">
        <v>640</v>
      </c>
      <c r="F272" s="21">
        <v>1</v>
      </c>
      <c r="G272" s="21">
        <v>0</v>
      </c>
      <c r="H272" s="21">
        <f>F272*AE272</f>
        <v>0</v>
      </c>
      <c r="I272" s="21">
        <f>J272-H272</f>
        <v>0</v>
      </c>
      <c r="J272" s="21">
        <f>F272*G272</f>
        <v>0</v>
      </c>
      <c r="K272" s="21">
        <v>0.00105</v>
      </c>
      <c r="L272" s="21">
        <f>F272*K272</f>
        <v>0.00105</v>
      </c>
    </row>
    <row r="273" spans="1:12" ht="12.75">
      <c r="A273" s="134"/>
      <c r="B273" s="134"/>
      <c r="C273" s="134"/>
      <c r="D273" s="135" t="s">
        <v>641</v>
      </c>
      <c r="E273" s="134"/>
      <c r="F273" s="134"/>
      <c r="G273" s="134"/>
      <c r="H273" s="134"/>
      <c r="I273" s="134"/>
      <c r="J273" s="134"/>
      <c r="K273" s="134"/>
      <c r="L273" s="134"/>
    </row>
    <row r="274" spans="1:12" ht="12.75">
      <c r="A274" s="7" t="s">
        <v>676</v>
      </c>
      <c r="B274" s="7" t="s">
        <v>137</v>
      </c>
      <c r="C274" s="132"/>
      <c r="D274" s="136" t="s">
        <v>647</v>
      </c>
      <c r="E274" s="137" t="s">
        <v>511</v>
      </c>
      <c r="F274" s="23">
        <v>1</v>
      </c>
      <c r="G274" s="23">
        <v>0</v>
      </c>
      <c r="H274" s="23">
        <f>F274*AE274</f>
        <v>0</v>
      </c>
      <c r="I274" s="23">
        <f>J274-H274</f>
        <v>0</v>
      </c>
      <c r="J274" s="23">
        <f>F274*G274</f>
        <v>0</v>
      </c>
      <c r="K274" s="23">
        <v>0.0025</v>
      </c>
      <c r="L274" s="23">
        <f>F274*K274</f>
        <v>0.0025</v>
      </c>
    </row>
    <row r="275" spans="1:12" ht="12.75">
      <c r="A275" s="7" t="s">
        <v>677</v>
      </c>
      <c r="B275" s="7" t="s">
        <v>137</v>
      </c>
      <c r="C275" s="132"/>
      <c r="D275" s="136" t="s">
        <v>649</v>
      </c>
      <c r="E275" s="137" t="s">
        <v>511</v>
      </c>
      <c r="F275" s="23">
        <v>1</v>
      </c>
      <c r="G275" s="23">
        <v>0</v>
      </c>
      <c r="H275" s="23">
        <f>F275*AE275</f>
        <v>0</v>
      </c>
      <c r="I275" s="23">
        <f>J275-H275</f>
        <v>0</v>
      </c>
      <c r="J275" s="23">
        <f>F275*G275</f>
        <v>0</v>
      </c>
      <c r="K275" s="23">
        <v>0.0025</v>
      </c>
      <c r="L275" s="23">
        <f>F275*K275</f>
        <v>0.0025</v>
      </c>
    </row>
    <row r="276" spans="1:12" ht="12.75">
      <c r="A276" s="7" t="s">
        <v>678</v>
      </c>
      <c r="B276" s="7" t="s">
        <v>137</v>
      </c>
      <c r="C276" s="132"/>
      <c r="D276" s="136" t="s">
        <v>651</v>
      </c>
      <c r="E276" s="137" t="s">
        <v>511</v>
      </c>
      <c r="F276" s="23">
        <v>1</v>
      </c>
      <c r="G276" s="23">
        <v>0</v>
      </c>
      <c r="H276" s="23">
        <f>F276*AE276</f>
        <v>0</v>
      </c>
      <c r="I276" s="23">
        <f>J276-H276</f>
        <v>0</v>
      </c>
      <c r="J276" s="23">
        <f>F276*G276</f>
        <v>0</v>
      </c>
      <c r="K276" s="23">
        <v>0.0025</v>
      </c>
      <c r="L276" s="23">
        <f>F276*K276</f>
        <v>0.0025</v>
      </c>
    </row>
    <row r="277" spans="1:12" ht="12.75">
      <c r="A277" s="7" t="s">
        <v>679</v>
      </c>
      <c r="B277" s="7" t="s">
        <v>137</v>
      </c>
      <c r="C277" s="132"/>
      <c r="D277" s="136" t="s">
        <v>652</v>
      </c>
      <c r="E277" s="137" t="s">
        <v>511</v>
      </c>
      <c r="F277" s="23">
        <v>1</v>
      </c>
      <c r="G277" s="23">
        <v>0</v>
      </c>
      <c r="H277" s="23">
        <f>F277*AE277</f>
        <v>0</v>
      </c>
      <c r="I277" s="23">
        <f>J277-H277</f>
        <v>0</v>
      </c>
      <c r="J277" s="23">
        <f>F277*G277</f>
        <v>0</v>
      </c>
      <c r="K277" s="23">
        <v>0.0025</v>
      </c>
      <c r="L277" s="23">
        <f>F277*K277</f>
        <v>0.0025</v>
      </c>
    </row>
    <row r="278" spans="1:12" ht="12.75">
      <c r="A278" s="7" t="s">
        <v>680</v>
      </c>
      <c r="B278" s="7" t="s">
        <v>137</v>
      </c>
      <c r="C278" s="132"/>
      <c r="D278" s="136" t="s">
        <v>653</v>
      </c>
      <c r="E278" s="137" t="s">
        <v>640</v>
      </c>
      <c r="F278" s="23">
        <v>1</v>
      </c>
      <c r="G278" s="23">
        <v>0</v>
      </c>
      <c r="H278" s="23">
        <f>F278*AE278</f>
        <v>0</v>
      </c>
      <c r="I278" s="23">
        <f>J278-H278</f>
        <v>0</v>
      </c>
      <c r="J278" s="23">
        <f>F278*G278</f>
        <v>0</v>
      </c>
      <c r="K278" s="23">
        <v>0.0025</v>
      </c>
      <c r="L278" s="23">
        <f>F278*K278</f>
        <v>0.0025</v>
      </c>
    </row>
    <row r="279" spans="1:12" ht="63.75">
      <c r="A279" s="7"/>
      <c r="B279" s="7"/>
      <c r="C279" s="132"/>
      <c r="D279" s="138" t="s">
        <v>654</v>
      </c>
      <c r="E279" s="137"/>
      <c r="F279" s="23"/>
      <c r="G279" s="23"/>
      <c r="H279" s="23"/>
      <c r="I279" s="23"/>
      <c r="J279" s="23"/>
      <c r="K279" s="23"/>
      <c r="L279" s="23"/>
    </row>
    <row r="280" spans="1:12" ht="12.75">
      <c r="A280" s="7" t="s">
        <v>681</v>
      </c>
      <c r="B280" s="7" t="s">
        <v>137</v>
      </c>
      <c r="C280" s="132"/>
      <c r="D280" s="136" t="s">
        <v>655</v>
      </c>
      <c r="E280" s="137" t="s">
        <v>640</v>
      </c>
      <c r="F280" s="23">
        <v>1</v>
      </c>
      <c r="G280" s="23">
        <v>0</v>
      </c>
      <c r="H280" s="23">
        <f>F280*AE280</f>
        <v>0</v>
      </c>
      <c r="I280" s="23">
        <f>J280-H280</f>
        <v>0</v>
      </c>
      <c r="J280" s="23">
        <f>F280*G280</f>
        <v>0</v>
      </c>
      <c r="K280" s="23">
        <v>0.0025</v>
      </c>
      <c r="L280" s="23">
        <f>F280*K280</f>
        <v>0.0025</v>
      </c>
    </row>
    <row r="281" spans="1:12" ht="51">
      <c r="A281" s="7"/>
      <c r="B281" s="7"/>
      <c r="C281" s="132"/>
      <c r="D281" s="138" t="s">
        <v>656</v>
      </c>
      <c r="E281" s="137"/>
      <c r="F281" s="23"/>
      <c r="G281" s="23"/>
      <c r="H281" s="23"/>
      <c r="I281" s="23"/>
      <c r="J281" s="23"/>
      <c r="K281" s="23"/>
      <c r="L281" s="23"/>
    </row>
    <row r="282" spans="1:12" ht="25.5">
      <c r="A282" s="7" t="s">
        <v>682</v>
      </c>
      <c r="B282" s="7" t="s">
        <v>137</v>
      </c>
      <c r="C282" s="132"/>
      <c r="D282" s="136" t="s">
        <v>657</v>
      </c>
      <c r="E282" s="137" t="s">
        <v>640</v>
      </c>
      <c r="F282" s="23">
        <v>1</v>
      </c>
      <c r="G282" s="23">
        <v>0</v>
      </c>
      <c r="H282" s="23">
        <f aca="true" t="shared" si="74" ref="H282:H290">F282*AE282</f>
        <v>0</v>
      </c>
      <c r="I282" s="23">
        <f>J282-H282</f>
        <v>0</v>
      </c>
      <c r="J282" s="23">
        <f aca="true" t="shared" si="75" ref="J282:J290">F282*G282</f>
        <v>0</v>
      </c>
      <c r="K282" s="23">
        <v>0.0025</v>
      </c>
      <c r="L282" s="23">
        <f aca="true" t="shared" si="76" ref="L282:L290">F282*K282</f>
        <v>0.0025</v>
      </c>
    </row>
    <row r="283" spans="1:12" ht="12.75">
      <c r="A283" s="7" t="s">
        <v>667</v>
      </c>
      <c r="B283" s="7" t="s">
        <v>137</v>
      </c>
      <c r="C283" s="132"/>
      <c r="D283" s="136" t="s">
        <v>658</v>
      </c>
      <c r="E283" s="137" t="s">
        <v>640</v>
      </c>
      <c r="F283" s="23">
        <v>1</v>
      </c>
      <c r="G283" s="23">
        <v>0</v>
      </c>
      <c r="H283" s="23">
        <f t="shared" si="74"/>
        <v>0</v>
      </c>
      <c r="I283" s="23">
        <f>J283-H283</f>
        <v>0</v>
      </c>
      <c r="J283" s="23">
        <f t="shared" si="75"/>
        <v>0</v>
      </c>
      <c r="K283" s="23">
        <v>0.0025</v>
      </c>
      <c r="L283" s="23">
        <f t="shared" si="76"/>
        <v>0.0025</v>
      </c>
    </row>
    <row r="284" spans="1:12" ht="12.75">
      <c r="A284" s="7" t="s">
        <v>683</v>
      </c>
      <c r="B284" s="7" t="s">
        <v>137</v>
      </c>
      <c r="C284" s="132"/>
      <c r="D284" s="136" t="s">
        <v>659</v>
      </c>
      <c r="E284" s="137" t="s">
        <v>511</v>
      </c>
      <c r="F284" s="23">
        <v>1</v>
      </c>
      <c r="G284" s="23">
        <v>0</v>
      </c>
      <c r="H284" s="23">
        <f t="shared" si="74"/>
        <v>0</v>
      </c>
      <c r="I284" s="23">
        <f>J284-H284</f>
        <v>0</v>
      </c>
      <c r="J284" s="23">
        <f t="shared" si="75"/>
        <v>0</v>
      </c>
      <c r="K284" s="23">
        <v>0.0025</v>
      </c>
      <c r="L284" s="23">
        <f t="shared" si="76"/>
        <v>0.0025</v>
      </c>
    </row>
    <row r="285" spans="1:12" ht="38.25">
      <c r="A285" s="7" t="s">
        <v>638</v>
      </c>
      <c r="B285" s="7" t="s">
        <v>137</v>
      </c>
      <c r="C285" s="132"/>
      <c r="D285" s="136" t="s">
        <v>660</v>
      </c>
      <c r="E285" s="137" t="s">
        <v>640</v>
      </c>
      <c r="F285" s="23">
        <v>1</v>
      </c>
      <c r="G285" s="23">
        <v>0</v>
      </c>
      <c r="H285" s="23">
        <f t="shared" si="74"/>
        <v>0</v>
      </c>
      <c r="I285" s="23">
        <f aca="true" t="shared" si="77" ref="I285:I290">J285-H285</f>
        <v>0</v>
      </c>
      <c r="J285" s="23">
        <f t="shared" si="75"/>
        <v>0</v>
      </c>
      <c r="K285" s="23">
        <v>0.0025</v>
      </c>
      <c r="L285" s="23">
        <f t="shared" si="76"/>
        <v>0.0025</v>
      </c>
    </row>
    <row r="286" spans="1:12" ht="38.25">
      <c r="A286" s="7" t="s">
        <v>642</v>
      </c>
      <c r="B286" s="7" t="s">
        <v>137</v>
      </c>
      <c r="C286" s="132"/>
      <c r="D286" s="136" t="s">
        <v>661</v>
      </c>
      <c r="E286" s="137" t="s">
        <v>511</v>
      </c>
      <c r="F286" s="23">
        <v>4</v>
      </c>
      <c r="G286" s="23">
        <v>0</v>
      </c>
      <c r="H286" s="23">
        <f t="shared" si="74"/>
        <v>0</v>
      </c>
      <c r="I286" s="23">
        <f t="shared" si="77"/>
        <v>0</v>
      </c>
      <c r="J286" s="23">
        <f t="shared" si="75"/>
        <v>0</v>
      </c>
      <c r="K286" s="23">
        <v>0.0025</v>
      </c>
      <c r="L286" s="23">
        <f t="shared" si="76"/>
        <v>0.01</v>
      </c>
    </row>
    <row r="287" spans="1:12" ht="38.25">
      <c r="A287" s="7" t="s">
        <v>644</v>
      </c>
      <c r="B287" s="7" t="s">
        <v>137</v>
      </c>
      <c r="C287" s="132"/>
      <c r="D287" s="133" t="s">
        <v>662</v>
      </c>
      <c r="E287" s="132" t="s">
        <v>507</v>
      </c>
      <c r="F287" s="21">
        <v>10</v>
      </c>
      <c r="G287" s="21">
        <v>0</v>
      </c>
      <c r="H287" s="21">
        <f t="shared" si="74"/>
        <v>0</v>
      </c>
      <c r="I287" s="21">
        <f t="shared" si="77"/>
        <v>0</v>
      </c>
      <c r="J287" s="21">
        <f t="shared" si="75"/>
        <v>0</v>
      </c>
      <c r="K287" s="21">
        <v>0.00105</v>
      </c>
      <c r="L287" s="21">
        <f t="shared" si="76"/>
        <v>0.010499999999999999</v>
      </c>
    </row>
    <row r="288" spans="1:12" ht="25.5">
      <c r="A288" s="7" t="s">
        <v>646</v>
      </c>
      <c r="B288" s="7" t="s">
        <v>137</v>
      </c>
      <c r="C288" s="132"/>
      <c r="D288" s="133" t="s">
        <v>663</v>
      </c>
      <c r="E288" s="132" t="s">
        <v>640</v>
      </c>
      <c r="F288" s="21">
        <v>1</v>
      </c>
      <c r="G288" s="21">
        <v>0</v>
      </c>
      <c r="H288" s="21">
        <f t="shared" si="74"/>
        <v>0</v>
      </c>
      <c r="I288" s="21">
        <f t="shared" si="77"/>
        <v>0</v>
      </c>
      <c r="J288" s="21">
        <f t="shared" si="75"/>
        <v>0</v>
      </c>
      <c r="K288" s="21">
        <v>0.00105</v>
      </c>
      <c r="L288" s="21">
        <f t="shared" si="76"/>
        <v>0.00105</v>
      </c>
    </row>
    <row r="289" spans="1:12" ht="12.75">
      <c r="A289" s="7" t="s">
        <v>648</v>
      </c>
      <c r="B289" s="7" t="s">
        <v>137</v>
      </c>
      <c r="C289" s="132"/>
      <c r="D289" s="133" t="s">
        <v>664</v>
      </c>
      <c r="E289" s="132" t="s">
        <v>640</v>
      </c>
      <c r="F289" s="21">
        <v>1</v>
      </c>
      <c r="G289" s="21">
        <v>0</v>
      </c>
      <c r="H289" s="21">
        <f t="shared" si="74"/>
        <v>0</v>
      </c>
      <c r="I289" s="21">
        <f t="shared" si="77"/>
        <v>0</v>
      </c>
      <c r="J289" s="21">
        <f t="shared" si="75"/>
        <v>0</v>
      </c>
      <c r="K289" s="21">
        <v>0.00105</v>
      </c>
      <c r="L289" s="21">
        <f t="shared" si="76"/>
        <v>0.00105</v>
      </c>
    </row>
    <row r="290" spans="1:12" ht="25.5">
      <c r="A290" s="7" t="s">
        <v>650</v>
      </c>
      <c r="B290" s="7" t="s">
        <v>137</v>
      </c>
      <c r="C290" s="132"/>
      <c r="D290" s="133" t="s">
        <v>666</v>
      </c>
      <c r="E290" s="132" t="s">
        <v>511</v>
      </c>
      <c r="F290" s="21">
        <v>2</v>
      </c>
      <c r="G290" s="21">
        <v>0</v>
      </c>
      <c r="H290" s="21">
        <f t="shared" si="74"/>
        <v>0</v>
      </c>
      <c r="I290" s="21">
        <f t="shared" si="77"/>
        <v>0</v>
      </c>
      <c r="J290" s="21">
        <f t="shared" si="75"/>
        <v>0</v>
      </c>
      <c r="K290" s="21">
        <v>0.00105</v>
      </c>
      <c r="L290" s="21">
        <f t="shared" si="76"/>
        <v>0.0021</v>
      </c>
    </row>
    <row r="291" spans="1:13" ht="12.75">
      <c r="A291" s="9"/>
      <c r="B291" s="9"/>
      <c r="C291" s="9"/>
      <c r="D291" s="128"/>
      <c r="E291" s="9"/>
      <c r="F291" s="9"/>
      <c r="G291" s="9"/>
      <c r="H291" s="89" t="s">
        <v>525</v>
      </c>
      <c r="I291" s="90"/>
      <c r="J291" s="43">
        <f>ROUND(J13+J26+J30+J38+J53+J58+J63+J68+J73+J82+J85+J152+J157+J164+J171+J174+J178+J186+J204+J214+J228+J232+J244+J250+J254+J267+J260+J263,1)</f>
        <v>0</v>
      </c>
      <c r="K291" s="9"/>
      <c r="L291" s="9"/>
      <c r="M291" s="9"/>
    </row>
    <row r="292" ht="11.25" customHeight="1">
      <c r="A292" s="10" t="s">
        <v>131</v>
      </c>
    </row>
    <row r="293" spans="1:13" ht="12.75">
      <c r="A293" s="78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</row>
  </sheetData>
  <sheetProtection/>
  <mergeCells count="58">
    <mergeCell ref="H291:I291"/>
    <mergeCell ref="A293:M293"/>
    <mergeCell ref="D267:G267"/>
    <mergeCell ref="D199:M199"/>
    <mergeCell ref="D221:M221"/>
    <mergeCell ref="D225:M225"/>
    <mergeCell ref="D235:M235"/>
    <mergeCell ref="D237:M237"/>
    <mergeCell ref="D241:M241"/>
    <mergeCell ref="D166:M166"/>
    <mergeCell ref="D168:M168"/>
    <mergeCell ref="D170:M170"/>
    <mergeCell ref="D181:M181"/>
    <mergeCell ref="D183:M183"/>
    <mergeCell ref="D196:M196"/>
    <mergeCell ref="D119:M119"/>
    <mergeCell ref="D126:M126"/>
    <mergeCell ref="D133:M133"/>
    <mergeCell ref="D135:M135"/>
    <mergeCell ref="D138:M138"/>
    <mergeCell ref="D162:M162"/>
    <mergeCell ref="D24:M24"/>
    <mergeCell ref="D29:M29"/>
    <mergeCell ref="D97:M97"/>
    <mergeCell ref="D99:M99"/>
    <mergeCell ref="D101:M101"/>
    <mergeCell ref="D104:M104"/>
    <mergeCell ref="H10:J10"/>
    <mergeCell ref="K10:L10"/>
    <mergeCell ref="D16:M16"/>
    <mergeCell ref="D18:M18"/>
    <mergeCell ref="D20:M20"/>
    <mergeCell ref="D22:M22"/>
    <mergeCell ref="A8:C9"/>
    <mergeCell ref="D8:D9"/>
    <mergeCell ref="E8:F9"/>
    <mergeCell ref="G8:G9"/>
    <mergeCell ref="H8:H9"/>
    <mergeCell ref="I8:M9"/>
    <mergeCell ref="A6:C7"/>
    <mergeCell ref="D6:D7"/>
    <mergeCell ref="E6:F7"/>
    <mergeCell ref="G6:G7"/>
    <mergeCell ref="H6:H7"/>
    <mergeCell ref="I6:M7"/>
    <mergeCell ref="A4:C5"/>
    <mergeCell ref="D4:D5"/>
    <mergeCell ref="E4:F5"/>
    <mergeCell ref="G4:G5"/>
    <mergeCell ref="H4:H5"/>
    <mergeCell ref="I4:M5"/>
    <mergeCell ref="A1:M1"/>
    <mergeCell ref="A2:C3"/>
    <mergeCell ref="D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L17" sqref="L17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9"/>
      <c r="B1" s="8"/>
      <c r="C1" s="91" t="s">
        <v>609</v>
      </c>
      <c r="D1" s="63"/>
      <c r="E1" s="63"/>
      <c r="F1" s="63"/>
      <c r="G1" s="63"/>
      <c r="H1" s="63"/>
      <c r="I1" s="63"/>
    </row>
    <row r="2" spans="1:10" ht="12.75" customHeight="1">
      <c r="A2" s="64" t="s">
        <v>1</v>
      </c>
      <c r="B2" s="65"/>
      <c r="C2" s="68" t="s">
        <v>684</v>
      </c>
      <c r="D2" s="90"/>
      <c r="E2" s="71" t="s">
        <v>519</v>
      </c>
      <c r="F2" s="71" t="s">
        <v>685</v>
      </c>
      <c r="G2" s="65"/>
      <c r="H2" s="71" t="s">
        <v>634</v>
      </c>
      <c r="I2" s="92" t="s">
        <v>686</v>
      </c>
      <c r="J2" s="36"/>
    </row>
    <row r="3" spans="1:10" ht="12.75">
      <c r="A3" s="66"/>
      <c r="B3" s="67"/>
      <c r="C3" s="69"/>
      <c r="D3" s="69"/>
      <c r="E3" s="67"/>
      <c r="F3" s="67"/>
      <c r="G3" s="67"/>
      <c r="H3" s="67"/>
      <c r="I3" s="74"/>
      <c r="J3" s="36"/>
    </row>
    <row r="4" spans="1:10" ht="12.75" customHeight="1">
      <c r="A4" s="75" t="s">
        <v>2</v>
      </c>
      <c r="B4" s="67"/>
      <c r="C4" s="78" t="s">
        <v>687</v>
      </c>
      <c r="D4" s="67"/>
      <c r="E4" s="78" t="s">
        <v>520</v>
      </c>
      <c r="F4" s="78" t="s">
        <v>688</v>
      </c>
      <c r="G4" s="67"/>
      <c r="H4" s="78" t="s">
        <v>634</v>
      </c>
      <c r="I4" s="93" t="s">
        <v>689</v>
      </c>
      <c r="J4" s="36"/>
    </row>
    <row r="5" spans="1:10" ht="12.75">
      <c r="A5" s="66"/>
      <c r="B5" s="67"/>
      <c r="C5" s="67"/>
      <c r="D5" s="67"/>
      <c r="E5" s="67"/>
      <c r="F5" s="67"/>
      <c r="G5" s="67"/>
      <c r="H5" s="67"/>
      <c r="I5" s="74"/>
      <c r="J5" s="36"/>
    </row>
    <row r="6" spans="1:10" ht="12.75">
      <c r="A6" s="75" t="s">
        <v>3</v>
      </c>
      <c r="B6" s="67"/>
      <c r="C6" s="78" t="s">
        <v>690</v>
      </c>
      <c r="D6" s="67"/>
      <c r="E6" s="78" t="s">
        <v>521</v>
      </c>
      <c r="F6" s="78"/>
      <c r="G6" s="67"/>
      <c r="H6" s="78" t="s">
        <v>634</v>
      </c>
      <c r="I6" s="93"/>
      <c r="J6" s="36"/>
    </row>
    <row r="7" spans="1:10" ht="12.75">
      <c r="A7" s="66"/>
      <c r="B7" s="67"/>
      <c r="C7" s="67"/>
      <c r="D7" s="67"/>
      <c r="E7" s="67"/>
      <c r="F7" s="67"/>
      <c r="G7" s="67"/>
      <c r="H7" s="67"/>
      <c r="I7" s="74"/>
      <c r="J7" s="36"/>
    </row>
    <row r="8" spans="1:10" ht="12.75" customHeight="1">
      <c r="A8" s="75" t="s">
        <v>501</v>
      </c>
      <c r="B8" s="67"/>
      <c r="C8" s="77" t="s">
        <v>6</v>
      </c>
      <c r="D8" s="67"/>
      <c r="E8" s="78" t="s">
        <v>502</v>
      </c>
      <c r="F8" s="67"/>
      <c r="G8" s="67"/>
      <c r="H8" s="77" t="s">
        <v>635</v>
      </c>
      <c r="I8" s="139" t="s">
        <v>665</v>
      </c>
      <c r="J8" s="36"/>
    </row>
    <row r="9" spans="1:10" ht="12.75">
      <c r="A9" s="66"/>
      <c r="B9" s="67"/>
      <c r="C9" s="67"/>
      <c r="D9" s="67"/>
      <c r="E9" s="67"/>
      <c r="F9" s="67"/>
      <c r="G9" s="67"/>
      <c r="H9" s="67"/>
      <c r="I9" s="74"/>
      <c r="J9" s="36"/>
    </row>
    <row r="10" spans="1:10" ht="12.75">
      <c r="A10" s="75" t="s">
        <v>4</v>
      </c>
      <c r="B10" s="67"/>
      <c r="C10" s="78">
        <v>823</v>
      </c>
      <c r="D10" s="67"/>
      <c r="E10" s="78" t="s">
        <v>522</v>
      </c>
      <c r="F10" s="140" t="s">
        <v>688</v>
      </c>
      <c r="G10" s="67"/>
      <c r="H10" s="77" t="s">
        <v>636</v>
      </c>
      <c r="I10" s="141">
        <v>43525</v>
      </c>
      <c r="J10" s="36"/>
    </row>
    <row r="11" spans="1:10" ht="12.75">
      <c r="A11" s="94"/>
      <c r="B11" s="95"/>
      <c r="C11" s="95"/>
      <c r="D11" s="95"/>
      <c r="E11" s="95"/>
      <c r="F11" s="95"/>
      <c r="G11" s="95"/>
      <c r="H11" s="95"/>
      <c r="I11" s="96"/>
      <c r="J11" s="36"/>
    </row>
    <row r="12" spans="1:9" ht="23.25" customHeight="1">
      <c r="A12" s="97" t="s">
        <v>594</v>
      </c>
      <c r="B12" s="98"/>
      <c r="C12" s="98"/>
      <c r="D12" s="98"/>
      <c r="E12" s="98"/>
      <c r="F12" s="98"/>
      <c r="G12" s="98"/>
      <c r="H12" s="98"/>
      <c r="I12" s="98"/>
    </row>
    <row r="13" spans="1:10" ht="26.25" customHeight="1">
      <c r="A13" s="44" t="s">
        <v>595</v>
      </c>
      <c r="B13" s="99" t="s">
        <v>607</v>
      </c>
      <c r="C13" s="100"/>
      <c r="D13" s="44" t="s">
        <v>610</v>
      </c>
      <c r="E13" s="99" t="s">
        <v>619</v>
      </c>
      <c r="F13" s="100"/>
      <c r="G13" s="44" t="s">
        <v>620</v>
      </c>
      <c r="H13" s="99" t="s">
        <v>637</v>
      </c>
      <c r="I13" s="100"/>
      <c r="J13" s="36"/>
    </row>
    <row r="14" spans="1:10" ht="15" customHeight="1">
      <c r="A14" s="45" t="s">
        <v>596</v>
      </c>
      <c r="B14" s="49" t="s">
        <v>608</v>
      </c>
      <c r="C14" s="53"/>
      <c r="D14" s="101" t="s">
        <v>611</v>
      </c>
      <c r="E14" s="102"/>
      <c r="F14" s="53">
        <v>0</v>
      </c>
      <c r="G14" s="101" t="s">
        <v>621</v>
      </c>
      <c r="H14" s="102"/>
      <c r="I14" s="53">
        <v>0</v>
      </c>
      <c r="J14" s="36"/>
    </row>
    <row r="15" spans="1:10" ht="15" customHeight="1">
      <c r="A15" s="46"/>
      <c r="B15" s="49" t="s">
        <v>526</v>
      </c>
      <c r="C15" s="53"/>
      <c r="D15" s="101" t="s">
        <v>612</v>
      </c>
      <c r="E15" s="102"/>
      <c r="F15" s="53">
        <v>0</v>
      </c>
      <c r="G15" s="101" t="s">
        <v>622</v>
      </c>
      <c r="H15" s="102"/>
      <c r="I15" s="53">
        <v>0</v>
      </c>
      <c r="J15" s="36"/>
    </row>
    <row r="16" spans="1:10" ht="15" customHeight="1">
      <c r="A16" s="45" t="s">
        <v>597</v>
      </c>
      <c r="B16" s="49" t="s">
        <v>608</v>
      </c>
      <c r="C16" s="53"/>
      <c r="D16" s="101" t="s">
        <v>613</v>
      </c>
      <c r="E16" s="102"/>
      <c r="F16" s="53">
        <v>0</v>
      </c>
      <c r="G16" s="101" t="s">
        <v>623</v>
      </c>
      <c r="H16" s="102"/>
      <c r="I16" s="53">
        <v>0</v>
      </c>
      <c r="J16" s="36"/>
    </row>
    <row r="17" spans="1:10" ht="15" customHeight="1">
      <c r="A17" s="46"/>
      <c r="B17" s="49" t="s">
        <v>526</v>
      </c>
      <c r="C17" s="53"/>
      <c r="D17" s="101"/>
      <c r="E17" s="102"/>
      <c r="F17" s="54"/>
      <c r="G17" s="101" t="s">
        <v>624</v>
      </c>
      <c r="H17" s="102"/>
      <c r="I17" s="53">
        <v>0</v>
      </c>
      <c r="J17" s="36"/>
    </row>
    <row r="18" spans="1:10" ht="15" customHeight="1">
      <c r="A18" s="45" t="s">
        <v>598</v>
      </c>
      <c r="B18" s="49" t="s">
        <v>608</v>
      </c>
      <c r="C18" s="53"/>
      <c r="D18" s="101"/>
      <c r="E18" s="102"/>
      <c r="F18" s="54"/>
      <c r="G18" s="101" t="s">
        <v>625</v>
      </c>
      <c r="H18" s="102"/>
      <c r="I18" s="53">
        <v>0</v>
      </c>
      <c r="J18" s="36"/>
    </row>
    <row r="19" spans="1:10" ht="15" customHeight="1">
      <c r="A19" s="46"/>
      <c r="B19" s="49" t="s">
        <v>526</v>
      </c>
      <c r="C19" s="53"/>
      <c r="D19" s="101"/>
      <c r="E19" s="102"/>
      <c r="F19" s="54"/>
      <c r="G19" s="101" t="s">
        <v>626</v>
      </c>
      <c r="H19" s="102"/>
      <c r="I19" s="53">
        <v>0</v>
      </c>
      <c r="J19" s="36"/>
    </row>
    <row r="20" spans="1:10" ht="15" customHeight="1">
      <c r="A20" s="103" t="s">
        <v>599</v>
      </c>
      <c r="B20" s="104"/>
      <c r="C20" s="53"/>
      <c r="D20" s="101"/>
      <c r="E20" s="102"/>
      <c r="F20" s="54"/>
      <c r="G20" s="101"/>
      <c r="H20" s="102"/>
      <c r="I20" s="54"/>
      <c r="J20" s="36"/>
    </row>
    <row r="21" spans="1:10" ht="15" customHeight="1">
      <c r="A21" s="103" t="s">
        <v>600</v>
      </c>
      <c r="B21" s="104"/>
      <c r="C21" s="53"/>
      <c r="D21" s="101"/>
      <c r="E21" s="102"/>
      <c r="F21" s="54"/>
      <c r="G21" s="101"/>
      <c r="H21" s="102"/>
      <c r="I21" s="54"/>
      <c r="J21" s="36"/>
    </row>
    <row r="22" spans="1:10" ht="16.5" customHeight="1">
      <c r="A22" s="103" t="s">
        <v>601</v>
      </c>
      <c r="B22" s="104"/>
      <c r="C22" s="53">
        <f>'Stavební rozpočet'!J291</f>
        <v>0</v>
      </c>
      <c r="D22" s="103" t="s">
        <v>614</v>
      </c>
      <c r="E22" s="104"/>
      <c r="F22" s="53">
        <f>SUM(F14:F21)</f>
        <v>0</v>
      </c>
      <c r="G22" s="103" t="s">
        <v>627</v>
      </c>
      <c r="H22" s="104"/>
      <c r="I22" s="53">
        <f>SUM(I14:I21)</f>
        <v>0</v>
      </c>
      <c r="J22" s="36"/>
    </row>
    <row r="23" spans="1:10" ht="15" customHeight="1">
      <c r="A23" s="9"/>
      <c r="B23" s="9"/>
      <c r="C23" s="51"/>
      <c r="D23" s="103" t="s">
        <v>615</v>
      </c>
      <c r="E23" s="104"/>
      <c r="F23" s="55">
        <v>0</v>
      </c>
      <c r="G23" s="103" t="s">
        <v>628</v>
      </c>
      <c r="H23" s="104"/>
      <c r="I23" s="53">
        <v>0</v>
      </c>
      <c r="J23" s="36"/>
    </row>
    <row r="24" spans="4:10" ht="15" customHeight="1">
      <c r="D24" s="9"/>
      <c r="E24" s="9"/>
      <c r="F24" s="56"/>
      <c r="G24" s="103" t="s">
        <v>629</v>
      </c>
      <c r="H24" s="104"/>
      <c r="I24" s="53">
        <v>0</v>
      </c>
      <c r="J24" s="36"/>
    </row>
    <row r="25" spans="6:10" ht="15" customHeight="1">
      <c r="F25" s="57"/>
      <c r="G25" s="103" t="s">
        <v>630</v>
      </c>
      <c r="H25" s="104"/>
      <c r="I25" s="53">
        <v>0</v>
      </c>
      <c r="J25" s="36"/>
    </row>
    <row r="26" spans="1:9" ht="12.75">
      <c r="A26" s="8"/>
      <c r="B26" s="8"/>
      <c r="C26" s="8"/>
      <c r="G26" s="9"/>
      <c r="H26" s="9"/>
      <c r="I26" s="9"/>
    </row>
    <row r="27" spans="1:9" ht="15" customHeight="1">
      <c r="A27" s="105" t="s">
        <v>602</v>
      </c>
      <c r="B27" s="106"/>
      <c r="C27" s="58">
        <f>ROUND(SUM('Stavební rozpočet'!AJ12:AJ266),1)</f>
        <v>0</v>
      </c>
      <c r="D27" s="52"/>
      <c r="E27" s="8"/>
      <c r="F27" s="8"/>
      <c r="G27" s="8"/>
      <c r="H27" s="8"/>
      <c r="I27" s="8"/>
    </row>
    <row r="28" spans="1:10" ht="15" customHeight="1">
      <c r="A28" s="105" t="s">
        <v>603</v>
      </c>
      <c r="B28" s="106"/>
      <c r="C28" s="58">
        <v>0</v>
      </c>
      <c r="D28" s="105" t="s">
        <v>616</v>
      </c>
      <c r="E28" s="106"/>
      <c r="F28" s="58">
        <f>ROUND(C28*(15/100),2)</f>
        <v>0</v>
      </c>
      <c r="G28" s="105" t="s">
        <v>631</v>
      </c>
      <c r="H28" s="106"/>
      <c r="I28" s="58">
        <f>ROUND(SUM(C27:C29),1)</f>
        <v>0</v>
      </c>
      <c r="J28" s="36"/>
    </row>
    <row r="29" spans="1:10" ht="15" customHeight="1">
      <c r="A29" s="105" t="s">
        <v>604</v>
      </c>
      <c r="B29" s="106"/>
      <c r="C29" s="58">
        <f>C22</f>
        <v>0</v>
      </c>
      <c r="D29" s="105" t="s">
        <v>617</v>
      </c>
      <c r="E29" s="106"/>
      <c r="F29" s="58">
        <f>ROUND(C29*(21/100),2)</f>
        <v>0</v>
      </c>
      <c r="G29" s="105" t="s">
        <v>632</v>
      </c>
      <c r="H29" s="106"/>
      <c r="I29" s="58">
        <f>ROUND(SUM(F28:F29)+I28,1)</f>
        <v>0</v>
      </c>
      <c r="J29" s="36"/>
    </row>
    <row r="30" spans="1:9" ht="12.75">
      <c r="A30" s="47"/>
      <c r="B30" s="47"/>
      <c r="C30" s="47"/>
      <c r="D30" s="47"/>
      <c r="E30" s="47"/>
      <c r="F30" s="47"/>
      <c r="G30" s="47"/>
      <c r="H30" s="47"/>
      <c r="I30" s="47"/>
    </row>
    <row r="31" spans="1:10" ht="14.25" customHeight="1">
      <c r="A31" s="107" t="s">
        <v>605</v>
      </c>
      <c r="B31" s="108"/>
      <c r="C31" s="109"/>
      <c r="D31" s="107" t="s">
        <v>618</v>
      </c>
      <c r="E31" s="108"/>
      <c r="F31" s="109"/>
      <c r="G31" s="107" t="s">
        <v>633</v>
      </c>
      <c r="H31" s="108"/>
      <c r="I31" s="109"/>
      <c r="J31" s="37"/>
    </row>
    <row r="32" spans="1:10" ht="14.25" customHeight="1">
      <c r="A32" s="110"/>
      <c r="B32" s="111"/>
      <c r="C32" s="112"/>
      <c r="D32" s="110"/>
      <c r="E32" s="111"/>
      <c r="F32" s="112"/>
      <c r="G32" s="110"/>
      <c r="H32" s="111"/>
      <c r="I32" s="112"/>
      <c r="J32" s="37"/>
    </row>
    <row r="33" spans="1:10" ht="14.25" customHeight="1">
      <c r="A33" s="110"/>
      <c r="B33" s="111"/>
      <c r="C33" s="112"/>
      <c r="D33" s="110"/>
      <c r="E33" s="111"/>
      <c r="F33" s="112"/>
      <c r="G33" s="110"/>
      <c r="H33" s="111"/>
      <c r="I33" s="112"/>
      <c r="J33" s="37"/>
    </row>
    <row r="34" spans="1:10" ht="14.25" customHeight="1">
      <c r="A34" s="110"/>
      <c r="B34" s="111"/>
      <c r="C34" s="112"/>
      <c r="D34" s="110"/>
      <c r="E34" s="111"/>
      <c r="F34" s="112"/>
      <c r="G34" s="110"/>
      <c r="H34" s="111"/>
      <c r="I34" s="112"/>
      <c r="J34" s="37"/>
    </row>
    <row r="35" spans="1:10" ht="14.25" customHeight="1">
      <c r="A35" s="113" t="s">
        <v>606</v>
      </c>
      <c r="B35" s="114"/>
      <c r="C35" s="115"/>
      <c r="D35" s="113" t="s">
        <v>606</v>
      </c>
      <c r="E35" s="114"/>
      <c r="F35" s="115"/>
      <c r="G35" s="113" t="s">
        <v>606</v>
      </c>
      <c r="H35" s="114"/>
      <c r="I35" s="115"/>
      <c r="J35" s="37"/>
    </row>
    <row r="36" spans="1:9" ht="11.25" customHeight="1">
      <c r="A36" s="48" t="s">
        <v>131</v>
      </c>
      <c r="B36" s="50"/>
      <c r="C36" s="50"/>
      <c r="D36" s="50"/>
      <c r="E36" s="50"/>
      <c r="F36" s="50"/>
      <c r="G36" s="50"/>
      <c r="H36" s="50"/>
      <c r="I36" s="50"/>
    </row>
    <row r="37" spans="1:9" ht="12.75">
      <c r="A37" s="78"/>
      <c r="B37" s="67"/>
      <c r="C37" s="67"/>
      <c r="D37" s="67"/>
      <c r="E37" s="67"/>
      <c r="F37" s="67"/>
      <c r="G37" s="67"/>
      <c r="H37" s="67"/>
      <c r="I37" s="67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Jitka</cp:lastModifiedBy>
  <dcterms:created xsi:type="dcterms:W3CDTF">2019-03-26T21:54:10Z</dcterms:created>
  <dcterms:modified xsi:type="dcterms:W3CDTF">2019-03-26T21:58:35Z</dcterms:modified>
  <cp:category/>
  <cp:version/>
  <cp:contentType/>
  <cp:contentStatus/>
</cp:coreProperties>
</file>