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tavební rozpočet" sheetId="1" r:id="rId1"/>
    <sheet name="Stavební rozpočet - součet" sheetId="2" r:id="rId2"/>
    <sheet name="Krycí list rozpočtu" sheetId="3" r:id="rId3"/>
  </sheets>
  <definedNames/>
  <calcPr fullCalcOnLoad="1"/>
</workbook>
</file>

<file path=xl/sharedStrings.xml><?xml version="1.0" encoding="utf-8"?>
<sst xmlns="http://schemas.openxmlformats.org/spreadsheetml/2006/main" count="1109" uniqueCount="430">
  <si>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</si>
  <si>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</si>
  <si>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</si>
  <si>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</si>
  <si>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</si>
  <si>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</si>
  <si>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</si>
  <si>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</si>
  <si>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</si>
  <si>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</si>
  <si>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</si>
  <si>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</si>
  <si>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</si>
  <si>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</si>
  <si>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</si>
  <si>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</si>
  <si>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</si>
  <si>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</si>
  <si>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</si>
  <si>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</si>
  <si>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</si>
  <si>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</si>
  <si>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</si>
  <si>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</si>
  <si>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</si>
  <si>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</si>
  <si>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</si>
  <si>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</si>
  <si>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</si>
  <si>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</si>
  <si>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</si>
  <si>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</si>
  <si>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</si>
  <si>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</si>
  <si>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</si>
  <si>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</si>
  <si>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</si>
  <si>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</si>
  <si>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</si>
  <si>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</si>
  <si>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</si>
  <si>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</si>
  <si>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</si>
  <si>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</si>
  <si>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</si>
  <si>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</si>
  <si>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</si>
  <si>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</si>
  <si>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</si>
  <si>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</si>
  <si>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</si>
  <si>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</si>
  <si>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</si>
  <si>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</si>
  <si>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</si>
  <si>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</si>
  <si>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</si>
  <si>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</si>
  <si>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</si>
  <si>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</si>
  <si>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</si>
  <si>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</si>
  <si>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</si>
  <si>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</si>
  <si>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</si>
  <si>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Poznámka:</t>
  </si>
  <si>
    <t>Objekt</t>
  </si>
  <si>
    <t>SO01</t>
  </si>
  <si>
    <t>SO02</t>
  </si>
  <si>
    <t>SO03</t>
  </si>
  <si>
    <t>SO04</t>
  </si>
  <si>
    <t>Kód</t>
  </si>
  <si>
    <t>113231235R00</t>
  </si>
  <si>
    <t>RTS komentář:</t>
  </si>
  <si>
    <t>979081111RT2</t>
  </si>
  <si>
    <t>122201101R00</t>
  </si>
  <si>
    <t>460120082RT1</t>
  </si>
  <si>
    <t>181101102R00</t>
  </si>
  <si>
    <t>180802112R00</t>
  </si>
  <si>
    <t>181301102R00</t>
  </si>
  <si>
    <t>275311117R00</t>
  </si>
  <si>
    <t>289972114R00</t>
  </si>
  <si>
    <t>69310364</t>
  </si>
  <si>
    <t>568211281R00</t>
  </si>
  <si>
    <t>568211291R00</t>
  </si>
  <si>
    <t>451504113R00</t>
  </si>
  <si>
    <t>583412006</t>
  </si>
  <si>
    <t>583417003</t>
  </si>
  <si>
    <t>589651131R00</t>
  </si>
  <si>
    <t>596215021R00</t>
  </si>
  <si>
    <t>5924798460</t>
  </si>
  <si>
    <t>91</t>
  </si>
  <si>
    <t>916561111R00</t>
  </si>
  <si>
    <t>59217510</t>
  </si>
  <si>
    <t>93</t>
  </si>
  <si>
    <t>936124112R00</t>
  </si>
  <si>
    <t>7491030121</t>
  </si>
  <si>
    <t>74910217</t>
  </si>
  <si>
    <t>133210012R00</t>
  </si>
  <si>
    <t>338171122R00</t>
  </si>
  <si>
    <t>5923333015</t>
  </si>
  <si>
    <t>5923333012</t>
  </si>
  <si>
    <t>767</t>
  </si>
  <si>
    <t>767916140R00</t>
  </si>
  <si>
    <t>13838730</t>
  </si>
  <si>
    <t>767914830R00</t>
  </si>
  <si>
    <t>767990010RAD</t>
  </si>
  <si>
    <t>767914130R00</t>
  </si>
  <si>
    <t>31327535</t>
  </si>
  <si>
    <t>55346338</t>
  </si>
  <si>
    <t>767914110R00</t>
  </si>
  <si>
    <t>95</t>
  </si>
  <si>
    <t>953943124R00</t>
  </si>
  <si>
    <t>182001111R00</t>
  </si>
  <si>
    <t>184802111R00</t>
  </si>
  <si>
    <t>180400021RA0</t>
  </si>
  <si>
    <t>183101215R00</t>
  </si>
  <si>
    <t>183101113R00</t>
  </si>
  <si>
    <t>183101111R00</t>
  </si>
  <si>
    <t>184102116R00</t>
  </si>
  <si>
    <t>184901112R00</t>
  </si>
  <si>
    <t>185802114R00</t>
  </si>
  <si>
    <t>185804311R00</t>
  </si>
  <si>
    <t>184102113R00</t>
  </si>
  <si>
    <t>02662131</t>
  </si>
  <si>
    <t>184102111R00</t>
  </si>
  <si>
    <t>70836130.A</t>
  </si>
  <si>
    <t>608500301</t>
  </si>
  <si>
    <t>60850015</t>
  </si>
  <si>
    <t>10391505.A</t>
  </si>
  <si>
    <t>02656014</t>
  </si>
  <si>
    <t>182001112R00</t>
  </si>
  <si>
    <t>184802211R00</t>
  </si>
  <si>
    <t>180400020RA0</t>
  </si>
  <si>
    <t>002VD</t>
  </si>
  <si>
    <t>00201</t>
  </si>
  <si>
    <t>00202</t>
  </si>
  <si>
    <t>Zkrácený popis / Varianta</t>
  </si>
  <si>
    <t>Rozměry</t>
  </si>
  <si>
    <t>Stavební a terénní práce</t>
  </si>
  <si>
    <t>Přípravné a přidružené práce</t>
  </si>
  <si>
    <t>Bourání odvodňovacího žlabu, zatíž. B125, š.350 mm</t>
  </si>
  <si>
    <t>Položka obsahuje vybourání odvodňovacího žlabu včetně betonového lože.</t>
  </si>
  <si>
    <t>Odvoz suti a vybour. hmot na skládku do 1 km</t>
  </si>
  <si>
    <t>kontejnerem 4 t</t>
  </si>
  <si>
    <t>Odkopávky a prokopávky</t>
  </si>
  <si>
    <t>Odkopávky nezapažené v hor. 3 do 100 m3</t>
  </si>
  <si>
    <t>90*0,30   modelace</t>
  </si>
  <si>
    <t>9*9*0,2   pod pryž</t>
  </si>
  <si>
    <t>(15+12)*0,2   pro dlažbu</t>
  </si>
  <si>
    <t>24*0,4*0,4*0,6   patky pro workout</t>
  </si>
  <si>
    <t>8*0,3*0,5*0,5   patky pod lavičky</t>
  </si>
  <si>
    <t>Násyp zeminy, hornina třídy 3-4</t>
  </si>
  <si>
    <t>složení, rozprost. a udusání zeminy</t>
  </si>
  <si>
    <t>35   modelace svahů</t>
  </si>
  <si>
    <t>Povrchové úpravy terénu</t>
  </si>
  <si>
    <t>Úprava pláně v zářezech v hor. 1-4, se zhutněním</t>
  </si>
  <si>
    <t>9*9   pod pryž</t>
  </si>
  <si>
    <t>15+12   pro dlažbu</t>
  </si>
  <si>
    <t>Položky jsou shodné i pro úpravu pláně v násypech.</t>
  </si>
  <si>
    <t>Květinová skalka zakrytá kameny do 50 %</t>
  </si>
  <si>
    <t>usazení pískovcových valounů velkých rozměrů (hm. cca 0,5 - 2 t), bez dodávky valounů (dodá škola)</t>
  </si>
  <si>
    <t>Rozprostření ornice, rovina, tl. 10-15 cm,do 500m2</t>
  </si>
  <si>
    <t>Ornice z výkopů</t>
  </si>
  <si>
    <t>Položka se používá pro souvislé plochy do 500 m2.</t>
  </si>
  <si>
    <t>Dopnění ornice v plochách pro zatravnění a dosypání vyjetých kolejí a urovnání pozemků při příjezdu na stavbu</t>
  </si>
  <si>
    <t>Základy</t>
  </si>
  <si>
    <t>Beton základ. patek prostý z cem. portlad. C 25/30</t>
  </si>
  <si>
    <t>24*0,4*0,4*0,8   pro workout</t>
  </si>
  <si>
    <t>8*0,3*0,5*0,5   pro lavičky</t>
  </si>
  <si>
    <t>Položka je určena pro konstrukce ve výkopu zapaženém nebo nezapaženém, popř. nad terénem.</t>
  </si>
  <si>
    <t>Zpevňování hornin a konstrukcí</t>
  </si>
  <si>
    <t>Položení geobuněk, ochrana svahů a skalních těles</t>
  </si>
  <si>
    <t>15   svah u opěrky</t>
  </si>
  <si>
    <t>50   svah velký</t>
  </si>
  <si>
    <t>Položka obsahuje spojení pásů geobuněk stahovacími páskami. Položka neobsahuje: - uchycení geobuněk v patě a koruně svahu lanem, oceňuje se položkou 568211281 - přikotvení geobuněk, oceňuje se položkami 56821-1291,1296 - dodávku geobuněk</t>
  </si>
  <si>
    <t>Geobuňka  30/150  4,90 x 2,42 m</t>
  </si>
  <si>
    <t>65   potřebná plocha</t>
  </si>
  <si>
    <t>15   ořezy, ztratné</t>
  </si>
  <si>
    <t>Geobuňky Multicell jsou vyrobeny z vysokohustotního polyetylenu HDPE tak, aby poskytly optimální řešení v otázkách pevnosti, trvanlivosti, lehké manipulace a ekonomického řešení. Systém je použitelný s různými typy výplňového materiálu (zemina, kamenivo, beton).  Geobuňky Multicell jsou lehké, roztažitelné buňkové systémy, které vytváří protierozní ochranu nebo konstrukční základ. Systém se používá pro zemní stabilizaci, protierozní ochranu svahů, zajištění stability svahů, zpevnění koryt toků a výstavbu opěrných konstrukcí.</t>
  </si>
  <si>
    <t>Uchycení geobuněk v patě a koruně svahu lanem, včetně materiálu</t>
  </si>
  <si>
    <t>10   svah u opěrky</t>
  </si>
  <si>
    <t>18   svah velký</t>
  </si>
  <si>
    <t>přikotvení geobuněk, včetně materiálu</t>
  </si>
  <si>
    <t>Podkladní a vedlejší konstrukce (kromě vozovek a železničního svršku)</t>
  </si>
  <si>
    <t>Zřízení lože z kameniva pod dlažbu tl. do 200 mm</t>
  </si>
  <si>
    <t>8,5*8,5   pod pryž</t>
  </si>
  <si>
    <t>Kamenivo drcené frakce  0/4  D Jihomor. kraj</t>
  </si>
  <si>
    <t>100*0,04*1,8   kladecí vrstva dlažby</t>
  </si>
  <si>
    <t>Kamenivo drcené frakce  0/32 A Jihomor.kraj</t>
  </si>
  <si>
    <t>100*0,15*1,8   </t>
  </si>
  <si>
    <t>Kryty pozemních komunikací, letišť a ploch z betonu a ostatních hmot</t>
  </si>
  <si>
    <t>Kryt sportovních ploch z bezpečnostní lité pryže 50 mm SBR+10mm EPDM</t>
  </si>
  <si>
    <t>8,5*8,5   </t>
  </si>
  <si>
    <t>Položka obsahuje nanesení spodní vrstvy z granulátu strojně finišérem a nástřik krycí vrchní vrstvy.</t>
  </si>
  <si>
    <t>Kryty pozemních komunikací, letišť a ploch dlážděných (předlažby)</t>
  </si>
  <si>
    <t>Kladení zámkové dlažby tl. 6 cm do drtě tl. 4 cm</t>
  </si>
  <si>
    <t>1,2*13   </t>
  </si>
  <si>
    <t>1,2*8,5   </t>
  </si>
  <si>
    <t>Od CÚ 2015/ II. není v jednotkové ceně započteno řezání dlaždic!!! Rozpočtuje se samostatnou položkou 596 29-1111.R00 Řezání zámkové dlažby tl. 60 mm. V položce jsou zakalkulovány i náklady na dodání hmot pro lože a na dodání materiálu na výplň spár. V položce nejsou zakalkulovány náklady na dodání zámkové dlažby, která se oceňuje ve specifikaci, ztratné se doporučuje ve výši 5%.</t>
  </si>
  <si>
    <t>HBG 30/30/5 II nat D chodníková dlažba</t>
  </si>
  <si>
    <t>;ztratné 10%; 2,58   </t>
  </si>
  <si>
    <t>Doplňující konstrukce a práce na pozemních komunikacích a zpevněných plochách</t>
  </si>
  <si>
    <t>Osazení záhon.obrubníků do lože z C 12/15 s opěrou</t>
  </si>
  <si>
    <t>13*2   </t>
  </si>
  <si>
    <t>8,5*4   </t>
  </si>
  <si>
    <t>1,2*4   </t>
  </si>
  <si>
    <t>1,5   </t>
  </si>
  <si>
    <t>V položce nejsou zakalkulovány náklady na dodání obrubníků, které se oceňuje ve specifikaci, ztratné se doporučuje ve výši 1%. Část lože přesahující 10 cm se oceňuje položkou 918 10-1111 Lože pod obrubníky, krajníky nebo obruby.</t>
  </si>
  <si>
    <t>Obrubník  přírodní 100x8x25 cm</t>
  </si>
  <si>
    <t>univerzální parkový obrubník styk jednotlivých kusů se provádí na sraz</t>
  </si>
  <si>
    <t>Různé dokončovací konstrukce a práce inženýrských staveb</t>
  </si>
  <si>
    <t>Zřízení lavice stabilní se zabetonováním noh</t>
  </si>
  <si>
    <t>4   lavičky</t>
  </si>
  <si>
    <t>1   odpadkový koš</t>
  </si>
  <si>
    <t>Lavička bez opěradla 1500x420x450 mm, akát, betonová noha</t>
  </si>
  <si>
    <t>Koš odpadkový plast zelený, na 1 nožce</t>
  </si>
  <si>
    <t>Oplocení</t>
  </si>
  <si>
    <t>Hloubené vykopávky</t>
  </si>
  <si>
    <t>Hloubení šachet zem.vrtákem hor.3-4;D 20cm,hl.50cm</t>
  </si>
  <si>
    <t>Sloupy a pilíře, stožáry a rámové stojky</t>
  </si>
  <si>
    <t>Osazení sloupků plot.ocel. do 2,6 m, zabet.C 25/30</t>
  </si>
  <si>
    <t>V položce nejsou zakalkulovány náklady na sloupky a vzpěry. Jejich dodání se oceňuje ve specifikaci. Ztratné se doporučuje ve výši 1 %.</t>
  </si>
  <si>
    <t>Sloupek 60x60x3200, Fe, komaxit zelený, s čepičkou a chyty</t>
  </si>
  <si>
    <t>Sloupek  průběžný 130/130/3310 mm - úprava u branek</t>
  </si>
  <si>
    <t>Konstrukce doplňkové stavební (zámečnické)</t>
  </si>
  <si>
    <t>Montáž oplocení z plechu vlnitého nad 70 kg</t>
  </si>
  <si>
    <t>Plech Pz vlnitý jakost 10004.2  1,00x700x2000 mm</t>
  </si>
  <si>
    <t>(4*20*2)/1000   </t>
  </si>
  <si>
    <t>profil vlny 100 x 40 mm</t>
  </si>
  <si>
    <t>Demontáž oplocení rámového H do 2 m</t>
  </si>
  <si>
    <t>Před opravou, pro brány - vlnitý plech, ocelová konstrukce, trubkový plot ke školce</t>
  </si>
  <si>
    <t>Atypické ocelové konstrukce</t>
  </si>
  <si>
    <t>50 - 100 kg/kus</t>
  </si>
  <si>
    <t>5*3*3   Oprava nosné konstrukce plotu ve svahu</t>
  </si>
  <si>
    <t>5*5*2   Úprava plotu u školky pro branku</t>
  </si>
  <si>
    <t>2*5*2   Úprava plotu pro branku - z vlnitého plechu</t>
  </si>
  <si>
    <t>Montáž oplocení rámového H do 2,0 m</t>
  </si>
  <si>
    <t>8   plot</t>
  </si>
  <si>
    <t>1,5*3   branky</t>
  </si>
  <si>
    <t>5   plot u MŠ</t>
  </si>
  <si>
    <t>plotové panely vč. úpravy</t>
  </si>
  <si>
    <t>8   panely 2D, FeZn+komaxit</t>
  </si>
  <si>
    <t>1+3   Tubkové panely pro plot do MŠ</t>
  </si>
  <si>
    <t>Branka ESPACE jednokřídlá š = 1 m, h = 2 m</t>
  </si>
  <si>
    <t>rám brány: profil jekl F40 výplň: svařovaná síť 5x5 cm povrchová úprava: epoxi zinek + polyester</t>
  </si>
  <si>
    <t>Montáž oplocení rámového H do 1,0 m - další  řada plotu</t>
  </si>
  <si>
    <t>Různé dokončovací konstrukce a práce na pozemních stavbách</t>
  </si>
  <si>
    <t>Osazení kovových předmětů do betonu, 30 kg / kus</t>
  </si>
  <si>
    <t>osazení sloupků a atipických sloupků</t>
  </si>
  <si>
    <t>Položka je určena pro osazování drobných kovových předmětů jinde neuvedených (např. kotev), se zajištěním polohy k bednění či k výztuži před zabetonováním, bez dodání. Náklady na dodávky kovových předmětů se oceňují ve specifikaci. Ztratné se nestanoví.</t>
  </si>
  <si>
    <t>Zeleň</t>
  </si>
  <si>
    <t>Plošná úprava terénu, nerovnosti do 10 cm v rovině</t>
  </si>
  <si>
    <t>222   trávník nový</t>
  </si>
  <si>
    <t>20   záhon keře</t>
  </si>
  <si>
    <t>Chem. odplevelení před založ. postřikem, v rovině</t>
  </si>
  <si>
    <t>222*2   trávník nový</t>
  </si>
  <si>
    <t>20*2   záhon keře</t>
  </si>
  <si>
    <t>Založení trávníku parkového, svah, s dodáním osiva</t>
  </si>
  <si>
    <t>100   trávník svah</t>
  </si>
  <si>
    <t>65   zatravnění geobuněk</t>
  </si>
  <si>
    <t>Založení trávníku v ve svahu přes 1 : 5 do 1 : 1, doporučená spotřeba 3 dkg/m2. V položce jsou zakalkulovány náklady na první pokosení, naložení odpadu a odvezení do 20 km, se složením. V položce nejsou zakalkulovány náklady na vypletí a zalévání.</t>
  </si>
  <si>
    <t>Hloub. jamek s výměnou 50% půdy do 0,4 m3 sv.1:5</t>
  </si>
  <si>
    <t>Hloub. jamek bez výměny půdy do 0,05 m3, svah 1:5</t>
  </si>
  <si>
    <t>Hloub. jamek bez výměny půdy do 0,01 m3, svah 1:5</t>
  </si>
  <si>
    <t>Výsadba dřevin s balem D do 80 cm, v rovině - přesazení stávajícího javoru</t>
  </si>
  <si>
    <t>Osazení kůlů k dřevině s uvázáním, dl. kůlů do 3 m</t>
  </si>
  <si>
    <t>1*3   pro stromy v trávníku</t>
  </si>
  <si>
    <t>Hnojení umělým hnojivem k rostlinám v rovině</t>
  </si>
  <si>
    <t>Zalití rostlin vodou plochy do 20 m2</t>
  </si>
  <si>
    <t>vodu pro zálivku poskytne investor z budovy mateřské školy</t>
  </si>
  <si>
    <t>3*0,075*3   </t>
  </si>
  <si>
    <t>Výsadba dřevin s balem D do 40 cm, v rovině</t>
  </si>
  <si>
    <t>Hydrangea ´Strong Anabelle´, 30-40 cm</t>
  </si>
  <si>
    <t>4   </t>
  </si>
  <si>
    <t>Výsadba dřevin s balem D do 20 cm, v rovině</t>
  </si>
  <si>
    <t>Popruh vícevrstvý polyester/bavlna šíře 30 mm</t>
  </si>
  <si>
    <t>3*0,5   </t>
  </si>
  <si>
    <t>361501030010/71  tkací vazba: vícevrstvá, spojovaná materiál: bavlna a její směsi provedení jednobarevné, režná, bílá bez úpravy</t>
  </si>
  <si>
    <t>Příčka spojovací ke kůlům impregnovaná 50 x 6 cm</t>
  </si>
  <si>
    <t>spojovací příčka k vyvazovacím kůlům frézovaný půlválec délka 50 cm průměr 6 cm vakuotlaková impregnace - zelená</t>
  </si>
  <si>
    <t>Kůl vyvazovací impregnovaný 250 x 6 cm</t>
  </si>
  <si>
    <t>frézovaný válec délka 250 cm průměr 6 cm 1 x fazeta 1 x špice vakuotlaková impregnace - zelená</t>
  </si>
  <si>
    <t>TerraCottem fyzikální půdní kondicionér po 20 kg</t>
  </si>
  <si>
    <t>zvyšuje vodní retenční kapacitu půdy a přístupnost hnojiv, zlepšuje půdní struktury, omezuje účinky přesazovacího šoku. Vhodný pro použití v degradovaných nebo problematických půdách. Půdní kondicionér se musí smíchat s růstovým médiem do kořenové zóny.</t>
  </si>
  <si>
    <t>Keře 30-40 a trvalky</t>
  </si>
  <si>
    <t>40   vinca minor</t>
  </si>
  <si>
    <t>30   jahody</t>
  </si>
  <si>
    <t>velikost 30-40 cm kontejner o velikosti 11x11 cm</t>
  </si>
  <si>
    <t>Plošná úprava terénu, nerovnosti do 10 cm svah 1:2</t>
  </si>
  <si>
    <t>100   trávník nový svah</t>
  </si>
  <si>
    <t>Chem. odplevelení před založ. postřikem, svah 1:2</t>
  </si>
  <si>
    <t>100*2   trávník svah</t>
  </si>
  <si>
    <t>Založení trávníku parkového, rovina, dodání osiva</t>
  </si>
  <si>
    <t>Založení trávníku v rovině nebo ve svahu  do 1 : 5, doporučená spotřeba 3 dkg/m2. V položce jsou zakalkulovány náklady na první pokosení, naložení odpadu a odvezení do 20 km, se složením. V položce nejsou zakalkulovány náklady na vypletí a zalévání.</t>
  </si>
  <si>
    <t>Herní a cvičební prvky</t>
  </si>
  <si>
    <t>Hřiště</t>
  </si>
  <si>
    <t>Workoutová sestava - viz PD, včetně motnáže</t>
  </si>
  <si>
    <t>- svahové klády na ocel. trny do beton. patek, celkem 9 ks, délka 2 m, lanové zábradlí na kůlech</t>
  </si>
  <si>
    <t>Doba výstavby:</t>
  </si>
  <si>
    <t>Začátek výstavby:</t>
  </si>
  <si>
    <t>Konec výstavby:</t>
  </si>
  <si>
    <t>Zpracováno dne:</t>
  </si>
  <si>
    <t>MJ</t>
  </si>
  <si>
    <t>m</t>
  </si>
  <si>
    <t>t</t>
  </si>
  <si>
    <t>m3</t>
  </si>
  <si>
    <t>m2</t>
  </si>
  <si>
    <t>kus</t>
  </si>
  <si>
    <t>kg</t>
  </si>
  <si>
    <t>kpl</t>
  </si>
  <si>
    <t>Množství</t>
  </si>
  <si>
    <t>11.05.2020</t>
  </si>
  <si>
    <t>Cena/MJ</t>
  </si>
  <si>
    <t>(Kč)</t>
  </si>
  <si>
    <t>Objednatel:</t>
  </si>
  <si>
    <t>Projektant:</t>
  </si>
  <si>
    <t>Zhotovitel:</t>
  </si>
  <si>
    <t>Zpracoval:</t>
  </si>
  <si>
    <t>Náklady (Kč)</t>
  </si>
  <si>
    <t>Dodávka</t>
  </si>
  <si>
    <t>Celkem:</t>
  </si>
  <si>
    <t> </t>
  </si>
  <si>
    <t>Montáž</t>
  </si>
  <si>
    <t>Celkem</t>
  </si>
  <si>
    <t>Hmotnost (t)</t>
  </si>
  <si>
    <t>Jednot.</t>
  </si>
  <si>
    <t>Cenová</t>
  </si>
  <si>
    <t>soustava</t>
  </si>
  <si>
    <t>RTS II / 2019</t>
  </si>
  <si>
    <t>Přesuny</t>
  </si>
  <si>
    <t>Typ skupiny</t>
  </si>
  <si>
    <t>HSV mat</t>
  </si>
  <si>
    <t>HSV prac</t>
  </si>
  <si>
    <t>PSV mat</t>
  </si>
  <si>
    <t>PSV prac</t>
  </si>
  <si>
    <t>Mont mat</t>
  </si>
  <si>
    <t>Mont prac</t>
  </si>
  <si>
    <t>Ostatní mat.</t>
  </si>
  <si>
    <t>11_</t>
  </si>
  <si>
    <t>12_</t>
  </si>
  <si>
    <t>18_</t>
  </si>
  <si>
    <t>27_</t>
  </si>
  <si>
    <t>28_</t>
  </si>
  <si>
    <t>45_</t>
  </si>
  <si>
    <t>58_</t>
  </si>
  <si>
    <t>59_</t>
  </si>
  <si>
    <t>91_</t>
  </si>
  <si>
    <t>93_</t>
  </si>
  <si>
    <t>13_</t>
  </si>
  <si>
    <t>33_</t>
  </si>
  <si>
    <t>767_</t>
  </si>
  <si>
    <t>95_</t>
  </si>
  <si>
    <t>002VD_</t>
  </si>
  <si>
    <t>SO01_1_</t>
  </si>
  <si>
    <t>SO01_2_</t>
  </si>
  <si>
    <t>SO01_4_</t>
  </si>
  <si>
    <t>SO01_5_</t>
  </si>
  <si>
    <t>SO01_9_</t>
  </si>
  <si>
    <t>SO02_1_</t>
  </si>
  <si>
    <t>SO02_3_</t>
  </si>
  <si>
    <t>SO02_76_</t>
  </si>
  <si>
    <t>SO02_9_</t>
  </si>
  <si>
    <t>SO03_1_</t>
  </si>
  <si>
    <t>SO04_0_</t>
  </si>
  <si>
    <t>SO01_</t>
  </si>
  <si>
    <t>SO02_</t>
  </si>
  <si>
    <t>SO03_</t>
  </si>
  <si>
    <t>SO04_</t>
  </si>
  <si>
    <t>MAT</t>
  </si>
  <si>
    <t>WORK</t>
  </si>
  <si>
    <t>CELK</t>
  </si>
  <si>
    <t>Zkrácený popis</t>
  </si>
  <si>
    <t>Náklady (Kč) - dodávka</t>
  </si>
  <si>
    <t>Náklady (Kč) - Montáž</t>
  </si>
  <si>
    <t>Náklady (Kč) - celkem</t>
  </si>
  <si>
    <t>Celková hmotnost (t)</t>
  </si>
  <si>
    <t>F</t>
  </si>
  <si>
    <t>T</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</si>
  <si>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</si>
  <si>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</si>
  <si>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</si>
  <si>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</si>
  <si>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</si>
  <si>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</si>
  <si>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</si>
  <si>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</si>
  <si>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</si>
  <si>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</si>
  <si>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</si>
  <si>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</si>
  <si>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</si>
  <si>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</si>
  <si>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</si>
  <si>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</si>
  <si>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</si>
  <si>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</si>
  <si>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</si>
  <si>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</si>
  <si>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</si>
  <si>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</si>
  <si>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</si>
  <si>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</si>
  <si>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</si>
  <si>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</si>
  <si>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</si>
  <si>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</si>
  <si>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</si>
  <si>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</si>
  <si>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</si>
  <si>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</si>
  <si>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</si>
  <si>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</si>
  <si>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</si>
  <si>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</si>
  <si>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</si>
  <si>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</si>
  <si>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</si>
  <si>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</si>
  <si>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</si>
  <si>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</si>
  <si>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</si>
  <si>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 xml:space="preserve">Stavební rozpočet </t>
  </si>
  <si>
    <t>ZŠ a MŠ Brno, Horní 16, p.o. - vybudování workoutového hřiště</t>
  </si>
  <si>
    <t>Statutární město Brno, MČ Brno - střed</t>
  </si>
  <si>
    <t>Ing. Jitka Vágnerová</t>
  </si>
  <si>
    <t xml:space="preserve">Krycí list rozpočtu </t>
  </si>
  <si>
    <t>Stavební rozpočet - rekapitulace</t>
  </si>
  <si>
    <t>Atypické prvky dětského hřiště -balanční sestava, svahový výlez - akátové dřevo</t>
  </si>
  <si>
    <t xml:space="preserve"> opičí balanční dráha - viz D.07</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</si>
</sst>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 numFmtId="166" formatCode="#,##0.000"/>
    <numFmt numFmtId="167" formatCode="#,##0.0000"/>
  </numFmts>
  <fonts count="52">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4"/>
      <name val="Arial"/>
      <family val="0"/>
    </font>
    <font>
      <b/>
      <sz val="10"/>
      <color indexed="56"/>
      <name val="Arial"/>
      <family val="0"/>
    </font>
    <font>
      <i/>
      <sz val="10"/>
      <color indexed="58"/>
      <name val="Arial"/>
      <family val="0"/>
    </font>
    <font>
      <i/>
      <sz val="10"/>
      <color indexed="60"/>
      <name val="Arial"/>
      <family val="0"/>
    </font>
    <font>
      <sz val="10"/>
      <color indexed="59"/>
      <name val="Arial"/>
      <family val="0"/>
    </font>
    <font>
      <i/>
      <sz val="10"/>
      <color indexed="63"/>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sz val="18"/>
      <color indexed="23"/>
      <name val="Calibri Light"/>
      <family val="2"/>
    </font>
    <font>
      <sz val="11"/>
      <color indexed="19"/>
      <name val="Calibri"/>
      <family val="2"/>
    </font>
    <font>
      <sz val="11"/>
      <color indexed="10"/>
      <name val="Calibri"/>
      <family val="2"/>
    </font>
    <font>
      <sz val="11"/>
      <color indexed="17"/>
      <name val="Calibri"/>
      <family val="2"/>
    </font>
    <font>
      <sz val="11"/>
      <color indexed="23"/>
      <name val="Calibri"/>
      <family val="2"/>
    </font>
    <font>
      <b/>
      <sz val="11"/>
      <color indexed="10"/>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
      <patternFill patternType="solid">
        <fgColor theme="2"/>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top style="medium"/>
      <bottom/>
    </border>
    <border>
      <left/>
      <right style="thin"/>
      <top style="thin"/>
      <bottom/>
    </border>
    <border>
      <left style="thin"/>
      <right/>
      <top/>
      <bottom style="thin"/>
    </border>
    <border>
      <left/>
      <right style="thin"/>
      <top style="medium"/>
      <bottom/>
    </border>
    <border>
      <left/>
      <right style="thin"/>
      <top/>
      <bottom/>
    </border>
    <border>
      <left/>
      <right style="thin"/>
      <top style="thin"/>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thin"/>
      <bottom style="thin"/>
    </border>
    <border>
      <left style="thin"/>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8" fillId="20" borderId="0" applyNumberFormat="0" applyBorder="0" applyAlignment="0" applyProtection="0"/>
    <xf numFmtId="0" fontId="39"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33">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49" fontId="1" fillId="0" borderId="15" xfId="0" applyNumberFormat="1" applyFont="1" applyFill="1" applyBorder="1" applyAlignment="1" applyProtection="1">
      <alignment horizontal="left" vertical="center"/>
      <protection/>
    </xf>
    <xf numFmtId="49" fontId="10" fillId="33" borderId="0"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right" vertical="top"/>
      <protection/>
    </xf>
    <xf numFmtId="49" fontId="12" fillId="0" borderId="0" xfId="0" applyNumberFormat="1" applyFont="1" applyFill="1" applyBorder="1" applyAlignment="1" applyProtection="1">
      <alignment horizontal="right" vertical="top"/>
      <protection/>
    </xf>
    <xf numFmtId="49" fontId="3" fillId="0" borderId="15"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wrapText="1"/>
      <protection/>
    </xf>
    <xf numFmtId="49" fontId="14" fillId="0" borderId="0"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14"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10" fillId="33" borderId="0" xfId="0" applyNumberFormat="1" applyFont="1" applyFill="1" applyBorder="1" applyAlignment="1" applyProtection="1">
      <alignment horizontal="right" vertical="center"/>
      <protection/>
    </xf>
    <xf numFmtId="49" fontId="3" fillId="0" borderId="21"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10" fillId="33" borderId="0" xfId="0" applyNumberFormat="1" applyFont="1" applyFill="1" applyBorder="1" applyAlignment="1" applyProtection="1">
      <alignment horizontal="right" vertical="center"/>
      <protection/>
    </xf>
    <xf numFmtId="4" fontId="3" fillId="0" borderId="13" xfId="0" applyNumberFormat="1" applyFont="1" applyFill="1" applyBorder="1" applyAlignment="1" applyProtection="1">
      <alignment horizontal="right" vertical="center"/>
      <protection/>
    </xf>
    <xf numFmtId="49" fontId="3" fillId="0" borderId="25" xfId="0" applyNumberFormat="1" applyFont="1" applyFill="1" applyBorder="1" applyAlignment="1" applyProtection="1">
      <alignment horizontal="left" vertical="center"/>
      <protection/>
    </xf>
    <xf numFmtId="49" fontId="3" fillId="0" borderId="26" xfId="0" applyNumberFormat="1" applyFont="1" applyFill="1" applyBorder="1" applyAlignment="1" applyProtection="1">
      <alignment horizontal="left" vertical="center"/>
      <protection/>
    </xf>
    <xf numFmtId="49" fontId="3" fillId="0" borderId="27" xfId="0" applyNumberFormat="1" applyFont="1" applyFill="1" applyBorder="1" applyAlignment="1" applyProtection="1">
      <alignment horizontal="left" vertical="center"/>
      <protection/>
    </xf>
    <xf numFmtId="49" fontId="3" fillId="0" borderId="27"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protection/>
    </xf>
    <xf numFmtId="49" fontId="3" fillId="0" borderId="25" xfId="0" applyNumberFormat="1" applyFont="1" applyFill="1" applyBorder="1" applyAlignment="1" applyProtection="1">
      <alignment horizontal="center" vertical="center"/>
      <protection/>
    </xf>
    <xf numFmtId="4" fontId="3" fillId="0" borderId="0" xfId="0" applyNumberFormat="1" applyFont="1" applyFill="1" applyBorder="1" applyAlignment="1" applyProtection="1">
      <alignment horizontal="right" vertical="center"/>
      <protection/>
    </xf>
    <xf numFmtId="49" fontId="16" fillId="34" borderId="28" xfId="0" applyNumberFormat="1" applyFont="1" applyFill="1" applyBorder="1" applyAlignment="1" applyProtection="1">
      <alignment horizontal="center" vertical="center"/>
      <protection/>
    </xf>
    <xf numFmtId="49" fontId="17" fillId="0" borderId="29" xfId="0" applyNumberFormat="1" applyFont="1" applyFill="1" applyBorder="1" applyAlignment="1" applyProtection="1">
      <alignment horizontal="left" vertical="center"/>
      <protection/>
    </xf>
    <xf numFmtId="49" fontId="17" fillId="0" borderId="30" xfId="0" applyNumberFormat="1" applyFont="1" applyFill="1" applyBorder="1" applyAlignment="1" applyProtection="1">
      <alignment horizontal="left" vertical="center"/>
      <protection/>
    </xf>
    <xf numFmtId="0" fontId="1" fillId="0" borderId="31" xfId="0" applyNumberFormat="1" applyFont="1" applyFill="1" applyBorder="1" applyAlignment="1" applyProtection="1">
      <alignment vertical="center"/>
      <protection/>
    </xf>
    <xf numFmtId="49" fontId="8" fillId="0" borderId="32" xfId="0" applyNumberFormat="1" applyFont="1" applyFill="1" applyBorder="1" applyAlignment="1" applyProtection="1">
      <alignment horizontal="left" vertical="center"/>
      <protection/>
    </xf>
    <xf numFmtId="49" fontId="18" fillId="0" borderId="28"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8" fillId="0" borderId="28" xfId="0" applyNumberFormat="1" applyFont="1" applyFill="1" applyBorder="1" applyAlignment="1" applyProtection="1">
      <alignment horizontal="right" vertical="center"/>
      <protection/>
    </xf>
    <xf numFmtId="49" fontId="18" fillId="0" borderId="28" xfId="0" applyNumberFormat="1" applyFont="1" applyFill="1" applyBorder="1" applyAlignment="1" applyProtection="1">
      <alignment horizontal="right" vertical="center"/>
      <protection/>
    </xf>
    <xf numFmtId="4" fontId="18" fillId="0" borderId="19" xfId="0" applyNumberFormat="1" applyFont="1" applyFill="1" applyBorder="1" applyAlignment="1" applyProtection="1">
      <alignment horizontal="right" vertical="center"/>
      <protection/>
    </xf>
    <xf numFmtId="0" fontId="1" fillId="0" borderId="35" xfId="0" applyNumberFormat="1" applyFont="1" applyFill="1" applyBorder="1" applyAlignment="1" applyProtection="1">
      <alignment vertical="center"/>
      <protection/>
    </xf>
    <xf numFmtId="0" fontId="1" fillId="0" borderId="36" xfId="0" applyNumberFormat="1" applyFont="1" applyFill="1" applyBorder="1" applyAlignment="1" applyProtection="1">
      <alignment vertical="center"/>
      <protection/>
    </xf>
    <xf numFmtId="4" fontId="17" fillId="34" borderId="37" xfId="0" applyNumberFormat="1" applyFont="1" applyFill="1" applyBorder="1" applyAlignment="1" applyProtection="1">
      <alignment horizontal="right" vertical="center"/>
      <protection/>
    </xf>
    <xf numFmtId="0" fontId="1" fillId="0" borderId="12" xfId="0" applyNumberFormat="1" applyFont="1" applyFill="1" applyBorder="1" applyAlignment="1" applyProtection="1">
      <alignment/>
      <protection/>
    </xf>
    <xf numFmtId="49" fontId="4" fillId="0" borderId="32" xfId="0" applyNumberFormat="1" applyFont="1" applyFill="1" applyBorder="1" applyAlignment="1" applyProtection="1">
      <alignment horizontal="left" vertical="center"/>
      <protection/>
    </xf>
    <xf numFmtId="49" fontId="9" fillId="0" borderId="32" xfId="0" applyNumberFormat="1" applyFont="1" applyFill="1" applyBorder="1" applyAlignment="1" applyProtection="1">
      <alignment horizontal="left" vertical="center"/>
      <protection/>
    </xf>
    <xf numFmtId="4" fontId="9" fillId="0" borderId="32" xfId="0" applyNumberFormat="1" applyFont="1" applyFill="1" applyBorder="1" applyAlignment="1" applyProtection="1">
      <alignment horizontal="right" vertical="center"/>
      <protection/>
    </xf>
    <xf numFmtId="49" fontId="9" fillId="0" borderId="32" xfId="0" applyNumberFormat="1" applyFont="1" applyFill="1" applyBorder="1" applyAlignment="1" applyProtection="1">
      <alignment horizontal="right" vertical="center"/>
      <protection/>
    </xf>
    <xf numFmtId="0" fontId="1" fillId="0" borderId="0" xfId="0" applyFont="1" applyFill="1" applyAlignment="1">
      <alignment vertical="center"/>
    </xf>
    <xf numFmtId="49" fontId="4"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4" fontId="9" fillId="0"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horizontal="right" vertical="center"/>
      <protection/>
    </xf>
    <xf numFmtId="49" fontId="1" fillId="35" borderId="32" xfId="0" applyNumberFormat="1" applyFont="1" applyFill="1" applyBorder="1" applyAlignment="1" applyProtection="1">
      <alignment horizontal="left" vertical="center"/>
      <protection/>
    </xf>
    <xf numFmtId="4" fontId="1" fillId="35" borderId="32" xfId="0" applyNumberFormat="1" applyFont="1" applyFill="1" applyBorder="1" applyAlignment="1" applyProtection="1">
      <alignment horizontal="right" vertical="center"/>
      <protection/>
    </xf>
    <xf numFmtId="49" fontId="1" fillId="35" borderId="0" xfId="0" applyNumberFormat="1" applyFont="1" applyFill="1" applyBorder="1" applyAlignment="1" applyProtection="1">
      <alignment horizontal="left" vertical="center"/>
      <protection/>
    </xf>
    <xf numFmtId="4" fontId="1" fillId="35"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vertical="center"/>
      <protection/>
    </xf>
    <xf numFmtId="0" fontId="1" fillId="0" borderId="0" xfId="0" applyFont="1" applyBorder="1" applyAlignment="1">
      <alignment vertical="center"/>
    </xf>
    <xf numFmtId="49" fontId="2" fillId="0" borderId="12"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0" fontId="1" fillId="0" borderId="40" xfId="0" applyNumberFormat="1" applyFont="1" applyFill="1" applyBorder="1" applyAlignment="1" applyProtection="1">
      <alignment horizontal="left" vertical="center"/>
      <protection/>
    </xf>
    <xf numFmtId="0" fontId="1" fillId="0" borderId="41" xfId="0" applyNumberFormat="1" applyFont="1" applyFill="1" applyBorder="1" applyAlignment="1" applyProtection="1">
      <alignment horizontal="left" vertical="center"/>
      <protection/>
    </xf>
    <xf numFmtId="49" fontId="3" fillId="0" borderId="42" xfId="0" applyNumberFormat="1" applyFont="1" applyFill="1" applyBorder="1" applyAlignment="1" applyProtection="1">
      <alignment horizontal="center" vertical="center"/>
      <protection/>
    </xf>
    <xf numFmtId="0"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protection/>
    </xf>
    <xf numFmtId="49" fontId="3" fillId="0" borderId="13"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0" fontId="2" fillId="0" borderId="12" xfId="0" applyNumberFormat="1" applyFont="1" applyFill="1" applyBorder="1" applyAlignment="1" applyProtection="1">
      <alignment horizontal="center" vertical="center" wrapText="1"/>
      <protection/>
    </xf>
    <xf numFmtId="49" fontId="1" fillId="0" borderId="33" xfId="0" applyNumberFormat="1" applyFont="1" applyFill="1" applyBorder="1" applyAlignment="1" applyProtection="1">
      <alignment horizontal="left" vertical="center"/>
      <protection/>
    </xf>
    <xf numFmtId="49" fontId="1" fillId="0" borderId="36"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wrapText="1"/>
      <protection/>
    </xf>
    <xf numFmtId="0" fontId="1" fillId="0" borderId="45" xfId="0" applyNumberFormat="1" applyFont="1" applyFill="1" applyBorder="1" applyAlignment="1" applyProtection="1">
      <alignment horizontal="left" vertical="center"/>
      <protection/>
    </xf>
    <xf numFmtId="49" fontId="15" fillId="0" borderId="46" xfId="0" applyNumberFormat="1" applyFont="1" applyFill="1" applyBorder="1" applyAlignment="1" applyProtection="1">
      <alignment horizontal="center" vertical="center"/>
      <protection/>
    </xf>
    <xf numFmtId="0" fontId="15" fillId="0" borderId="46" xfId="0" applyNumberFormat="1" applyFont="1" applyFill="1" applyBorder="1" applyAlignment="1" applyProtection="1">
      <alignment horizontal="center" vertical="center"/>
      <protection/>
    </xf>
    <xf numFmtId="49" fontId="19" fillId="0" borderId="47" xfId="0" applyNumberFormat="1" applyFont="1" applyFill="1" applyBorder="1" applyAlignment="1" applyProtection="1">
      <alignment horizontal="left" vertical="center"/>
      <protection/>
    </xf>
    <xf numFmtId="0" fontId="19" fillId="0" borderId="37" xfId="0" applyNumberFormat="1" applyFont="1" applyFill="1" applyBorder="1" applyAlignment="1" applyProtection="1">
      <alignment horizontal="left" vertical="center"/>
      <protection/>
    </xf>
    <xf numFmtId="49" fontId="18" fillId="0" borderId="47" xfId="0" applyNumberFormat="1" applyFont="1" applyFill="1" applyBorder="1" applyAlignment="1" applyProtection="1">
      <alignment horizontal="left" vertical="center"/>
      <protection/>
    </xf>
    <xf numFmtId="0" fontId="18" fillId="0" borderId="37" xfId="0" applyNumberFormat="1" applyFont="1" applyFill="1" applyBorder="1" applyAlignment="1" applyProtection="1">
      <alignment horizontal="left" vertical="center"/>
      <protection/>
    </xf>
    <xf numFmtId="49" fontId="17" fillId="0" borderId="47" xfId="0" applyNumberFormat="1" applyFont="1" applyFill="1" applyBorder="1" applyAlignment="1" applyProtection="1">
      <alignment horizontal="left" vertical="center"/>
      <protection/>
    </xf>
    <xf numFmtId="0" fontId="17" fillId="0" borderId="37" xfId="0" applyNumberFormat="1" applyFont="1" applyFill="1" applyBorder="1" applyAlignment="1" applyProtection="1">
      <alignment horizontal="left" vertical="center"/>
      <protection/>
    </xf>
    <xf numFmtId="49" fontId="17" fillId="34" borderId="47" xfId="0" applyNumberFormat="1" applyFont="1" applyFill="1" applyBorder="1" applyAlignment="1" applyProtection="1">
      <alignment horizontal="left" vertical="center"/>
      <protection/>
    </xf>
    <xf numFmtId="0" fontId="17" fillId="34" borderId="46" xfId="0" applyNumberFormat="1" applyFont="1" applyFill="1" applyBorder="1" applyAlignment="1" applyProtection="1">
      <alignment horizontal="left" vertical="center"/>
      <protection/>
    </xf>
    <xf numFmtId="49" fontId="18" fillId="0" borderId="48" xfId="0" applyNumberFormat="1" applyFont="1" applyFill="1" applyBorder="1" applyAlignment="1" applyProtection="1">
      <alignment horizontal="left" vertical="center"/>
      <protection/>
    </xf>
    <xf numFmtId="0" fontId="18" fillId="0" borderId="32" xfId="0" applyNumberFormat="1" applyFont="1" applyFill="1" applyBorder="1" applyAlignment="1" applyProtection="1">
      <alignment horizontal="left" vertical="center"/>
      <protection/>
    </xf>
    <xf numFmtId="0" fontId="18" fillId="0" borderId="49" xfId="0" applyNumberFormat="1" applyFont="1" applyFill="1" applyBorder="1" applyAlignment="1" applyProtection="1">
      <alignment horizontal="left" vertical="center"/>
      <protection/>
    </xf>
    <xf numFmtId="49" fontId="18" fillId="0" borderId="24"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left" vertical="center"/>
      <protection/>
    </xf>
    <xf numFmtId="0" fontId="18" fillId="0" borderId="50" xfId="0" applyNumberFormat="1" applyFont="1" applyFill="1" applyBorder="1" applyAlignment="1" applyProtection="1">
      <alignment horizontal="left" vertical="center"/>
      <protection/>
    </xf>
    <xf numFmtId="49" fontId="18" fillId="0" borderId="51" xfId="0" applyNumberFormat="1" applyFont="1" applyFill="1" applyBorder="1" applyAlignment="1" applyProtection="1">
      <alignment horizontal="left" vertical="center"/>
      <protection/>
    </xf>
    <xf numFmtId="0" fontId="18" fillId="0" borderId="40" xfId="0" applyNumberFormat="1" applyFont="1" applyFill="1" applyBorder="1" applyAlignment="1" applyProtection="1">
      <alignment horizontal="left" vertical="center"/>
      <protection/>
    </xf>
    <xf numFmtId="0" fontId="18" fillId="0" borderId="52" xfId="0" applyNumberFormat="1" applyFont="1" applyFill="1" applyBorder="1" applyAlignment="1" applyProtection="1">
      <alignment horizontal="left" vertical="center"/>
      <protection/>
    </xf>
    <xf numFmtId="4" fontId="6" fillId="8" borderId="0" xfId="0" applyNumberFormat="1" applyFont="1" applyFill="1" applyBorder="1" applyAlignment="1" applyProtection="1">
      <alignment horizontal="right" vertical="center"/>
      <protection/>
    </xf>
    <xf numFmtId="49" fontId="1" fillId="0" borderId="40" xfId="0" applyNumberFormat="1" applyFont="1" applyFill="1" applyBorder="1" applyAlignment="1" applyProtection="1">
      <alignment horizontal="left" vertical="center"/>
      <protection/>
    </xf>
    <xf numFmtId="167" fontId="6" fillId="0" borderId="0" xfId="0" applyNumberFormat="1" applyFont="1" applyFill="1" applyBorder="1" applyAlignment="1" applyProtection="1">
      <alignment horizontal="righ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0000FF"/>
      <rgbColor rgb="00000000"/>
      <rgbColor rgb="00DBDBDB"/>
      <rgbColor rgb="00000000"/>
      <rgbColor rgb="000D0000"/>
      <rgbColor rgb="00000000"/>
      <rgbColor rgb="00C0C0C0"/>
      <rgbColor rgb="00000000"/>
      <rgbColor rgb="000080FF"/>
      <rgbColor rgb="00000080"/>
      <rgbColor rgb="00000000"/>
      <rgbColor rgb="00000080"/>
      <rgbColor rgb="000000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J182"/>
  <sheetViews>
    <sheetView tabSelected="1" zoomScalePageLayoutView="0" workbookViewId="0" topLeftCell="A1">
      <pane ySplit="11" topLeftCell="A160" activePane="bottomLeft" state="frozen"/>
      <selection pane="topLeft" activeCell="A1" sqref="A1"/>
      <selection pane="bottomLeft" activeCell="D167" sqref="D167:M167"/>
    </sheetView>
  </sheetViews>
  <sheetFormatPr defaultColWidth="11.57421875" defaultRowHeight="12.75"/>
  <cols>
    <col min="1" max="1" width="3.7109375" style="0" customWidth="1"/>
    <col min="2" max="2" width="7.57421875" style="0" hidden="1" customWidth="1"/>
    <col min="3" max="3" width="14.28125" style="0" customWidth="1"/>
    <col min="4" max="4" width="45.57421875" style="0" customWidth="1"/>
    <col min="5" max="5" width="4.28125" style="0" customWidth="1"/>
    <col min="6" max="6" width="12.8515625" style="0" customWidth="1"/>
    <col min="7" max="7" width="12.00390625" style="0" customWidth="1"/>
    <col min="8" max="9" width="14.28125" style="0" customWidth="1"/>
    <col min="10" max="10" width="19.57421875" style="0" customWidth="1"/>
    <col min="11" max="13" width="11.7109375" style="0" hidden="1" customWidth="1"/>
    <col min="14" max="24" width="11.57421875" style="0" customWidth="1"/>
    <col min="25" max="62" width="12.140625" style="0" hidden="1" customWidth="1"/>
  </cols>
  <sheetData>
    <row r="1" spans="1:13" ht="72.75" customHeight="1">
      <c r="A1" s="77" t="s">
        <v>422</v>
      </c>
      <c r="B1" s="78"/>
      <c r="C1" s="78"/>
      <c r="D1" s="78"/>
      <c r="E1" s="78"/>
      <c r="F1" s="78"/>
      <c r="G1" s="78"/>
      <c r="H1" s="78"/>
      <c r="I1" s="78"/>
      <c r="J1" s="78"/>
      <c r="K1" s="78"/>
      <c r="L1" s="78"/>
      <c r="M1" s="78"/>
    </row>
    <row r="2" spans="1:14" ht="12.75">
      <c r="A2" s="79" t="s">
        <v>0</v>
      </c>
      <c r="B2" s="80"/>
      <c r="C2" s="80"/>
      <c r="D2" s="83" t="s">
        <v>423</v>
      </c>
      <c r="E2" s="85" t="s">
        <v>299</v>
      </c>
      <c r="F2" s="80"/>
      <c r="G2" s="85" t="s">
        <v>5</v>
      </c>
      <c r="H2" s="86" t="s">
        <v>315</v>
      </c>
      <c r="I2" s="85" t="s">
        <v>424</v>
      </c>
      <c r="J2" s="80"/>
      <c r="K2" s="80"/>
      <c r="L2" s="80"/>
      <c r="M2" s="87"/>
      <c r="N2" s="33"/>
    </row>
    <row r="3" spans="1:14" ht="12.75">
      <c r="A3" s="81"/>
      <c r="B3" s="82"/>
      <c r="C3" s="82"/>
      <c r="D3" s="84"/>
      <c r="E3" s="82"/>
      <c r="F3" s="82"/>
      <c r="G3" s="91"/>
      <c r="H3" s="82"/>
      <c r="I3" s="82"/>
      <c r="J3" s="82"/>
      <c r="K3" s="82"/>
      <c r="L3" s="82"/>
      <c r="M3" s="88"/>
      <c r="N3" s="33"/>
    </row>
    <row r="4" spans="1:14" ht="12.75">
      <c r="A4" s="89" t="s">
        <v>1</v>
      </c>
      <c r="B4" s="82"/>
      <c r="C4" s="82"/>
      <c r="D4" s="90" t="s">
        <v>5</v>
      </c>
      <c r="E4" s="91" t="s">
        <v>300</v>
      </c>
      <c r="F4" s="82"/>
      <c r="G4" s="91"/>
      <c r="H4" s="90" t="s">
        <v>316</v>
      </c>
      <c r="I4" s="91" t="s">
        <v>425</v>
      </c>
      <c r="J4" s="82"/>
      <c r="K4" s="82"/>
      <c r="L4" s="82"/>
      <c r="M4" s="88"/>
      <c r="N4" s="33"/>
    </row>
    <row r="5" spans="1:14" ht="12.75">
      <c r="A5" s="81"/>
      <c r="B5" s="82"/>
      <c r="C5" s="82"/>
      <c r="D5" s="82"/>
      <c r="E5" s="82"/>
      <c r="F5" s="82"/>
      <c r="G5" s="91"/>
      <c r="H5" s="82"/>
      <c r="I5" s="82"/>
      <c r="J5" s="82"/>
      <c r="K5" s="82"/>
      <c r="L5" s="82"/>
      <c r="M5" s="88"/>
      <c r="N5" s="33"/>
    </row>
    <row r="6" spans="1:14" ht="12.75">
      <c r="A6" s="89" t="s">
        <v>2</v>
      </c>
      <c r="B6" s="82"/>
      <c r="C6" s="82"/>
      <c r="D6" s="90" t="s">
        <v>5</v>
      </c>
      <c r="E6" s="91" t="s">
        <v>301</v>
      </c>
      <c r="F6" s="82"/>
      <c r="G6" s="91" t="s">
        <v>5</v>
      </c>
      <c r="H6" s="90" t="s">
        <v>317</v>
      </c>
      <c r="I6" s="91" t="s">
        <v>322</v>
      </c>
      <c r="J6" s="82"/>
      <c r="K6" s="82"/>
      <c r="L6" s="82"/>
      <c r="M6" s="88"/>
      <c r="N6" s="33"/>
    </row>
    <row r="7" spans="1:14" ht="12.75">
      <c r="A7" s="81"/>
      <c r="B7" s="82"/>
      <c r="C7" s="82"/>
      <c r="D7" s="82"/>
      <c r="E7" s="82"/>
      <c r="F7" s="82"/>
      <c r="G7" s="91"/>
      <c r="H7" s="82"/>
      <c r="I7" s="82"/>
      <c r="J7" s="82"/>
      <c r="K7" s="82"/>
      <c r="L7" s="82"/>
      <c r="M7" s="88"/>
      <c r="N7" s="33"/>
    </row>
    <row r="8" spans="1:14" ht="12.75">
      <c r="A8" s="89" t="s">
        <v>3</v>
      </c>
      <c r="B8" s="82"/>
      <c r="C8" s="82"/>
      <c r="D8" s="90" t="s">
        <v>5</v>
      </c>
      <c r="E8" s="91" t="s">
        <v>302</v>
      </c>
      <c r="F8" s="82"/>
      <c r="G8" s="91" t="s">
        <v>312</v>
      </c>
      <c r="H8" s="90" t="s">
        <v>318</v>
      </c>
      <c r="I8" s="91" t="s">
        <v>425</v>
      </c>
      <c r="J8" s="82"/>
      <c r="K8" s="82"/>
      <c r="L8" s="82"/>
      <c r="M8" s="88"/>
      <c r="N8" s="33"/>
    </row>
    <row r="9" spans="1:14" ht="13.5" thickBot="1">
      <c r="A9" s="92"/>
      <c r="B9" s="93"/>
      <c r="C9" s="93"/>
      <c r="D9" s="93"/>
      <c r="E9" s="93"/>
      <c r="F9" s="93"/>
      <c r="G9" s="131"/>
      <c r="H9" s="93"/>
      <c r="I9" s="93"/>
      <c r="J9" s="93"/>
      <c r="K9" s="93"/>
      <c r="L9" s="93"/>
      <c r="M9" s="94"/>
      <c r="N9" s="33"/>
    </row>
    <row r="10" spans="1:14" ht="12.75">
      <c r="A10" s="1" t="s">
        <v>4</v>
      </c>
      <c r="B10" s="9" t="s">
        <v>66</v>
      </c>
      <c r="C10" s="9" t="s">
        <v>71</v>
      </c>
      <c r="D10" s="9" t="s">
        <v>137</v>
      </c>
      <c r="E10" s="9" t="s">
        <v>303</v>
      </c>
      <c r="F10" s="19" t="s">
        <v>311</v>
      </c>
      <c r="G10" s="23" t="s">
        <v>313</v>
      </c>
      <c r="H10" s="95" t="s">
        <v>319</v>
      </c>
      <c r="I10" s="96"/>
      <c r="J10" s="97"/>
      <c r="K10" s="95" t="s">
        <v>325</v>
      </c>
      <c r="L10" s="97"/>
      <c r="M10" s="29" t="s">
        <v>327</v>
      </c>
      <c r="N10" s="34"/>
    </row>
    <row r="11" spans="1:62" ht="12.75">
      <c r="A11" s="2" t="s">
        <v>5</v>
      </c>
      <c r="B11" s="10" t="s">
        <v>5</v>
      </c>
      <c r="C11" s="10" t="s">
        <v>5</v>
      </c>
      <c r="D11" s="14" t="s">
        <v>138</v>
      </c>
      <c r="E11" s="10" t="s">
        <v>5</v>
      </c>
      <c r="F11" s="10" t="s">
        <v>5</v>
      </c>
      <c r="G11" s="24" t="s">
        <v>314</v>
      </c>
      <c r="H11" s="25" t="s">
        <v>320</v>
      </c>
      <c r="I11" s="26" t="s">
        <v>323</v>
      </c>
      <c r="J11" s="27" t="s">
        <v>324</v>
      </c>
      <c r="K11" s="25" t="s">
        <v>326</v>
      </c>
      <c r="L11" s="27" t="s">
        <v>324</v>
      </c>
      <c r="M11" s="30" t="s">
        <v>328</v>
      </c>
      <c r="N11" s="34"/>
      <c r="Z11" s="28" t="s">
        <v>330</v>
      </c>
      <c r="AA11" s="28" t="s">
        <v>331</v>
      </c>
      <c r="AB11" s="28" t="s">
        <v>332</v>
      </c>
      <c r="AC11" s="28" t="s">
        <v>333</v>
      </c>
      <c r="AD11" s="28" t="s">
        <v>334</v>
      </c>
      <c r="AE11" s="28" t="s">
        <v>335</v>
      </c>
      <c r="AF11" s="28" t="s">
        <v>336</v>
      </c>
      <c r="AG11" s="28" t="s">
        <v>337</v>
      </c>
      <c r="AH11" s="28" t="s">
        <v>338</v>
      </c>
      <c r="BH11" s="28" t="s">
        <v>369</v>
      </c>
      <c r="BI11" s="28" t="s">
        <v>370</v>
      </c>
      <c r="BJ11" s="28" t="s">
        <v>371</v>
      </c>
    </row>
    <row r="12" spans="1:13" s="66" customFormat="1" ht="12.75">
      <c r="A12" s="62"/>
      <c r="B12" s="63" t="s">
        <v>67</v>
      </c>
      <c r="C12" s="63"/>
      <c r="D12" s="63" t="s">
        <v>139</v>
      </c>
      <c r="E12" s="62" t="s">
        <v>5</v>
      </c>
      <c r="F12" s="62" t="s">
        <v>5</v>
      </c>
      <c r="G12" s="62" t="s">
        <v>5</v>
      </c>
      <c r="H12" s="64">
        <f>H13+H18+H28+H39+H44+H59+H67+H71+H80+H89</f>
        <v>0</v>
      </c>
      <c r="I12" s="64">
        <f>I13+I18+I28+I39+I44+I59+I67+I71+I80+I89</f>
        <v>0</v>
      </c>
      <c r="J12" s="64">
        <f>J13+J18+J28+J39+J44+J59+J67+J71+J80+J89</f>
        <v>0</v>
      </c>
      <c r="K12" s="65"/>
      <c r="L12" s="64">
        <f>L13+L18+L28+L39+L44+L59+L67+L71+L80+L89</f>
        <v>68.68465319999999</v>
      </c>
      <c r="M12" s="65"/>
    </row>
    <row r="13" spans="1:47" ht="12.75">
      <c r="A13" s="3"/>
      <c r="B13" s="11" t="s">
        <v>67</v>
      </c>
      <c r="C13" s="11" t="s">
        <v>16</v>
      </c>
      <c r="D13" s="11" t="s">
        <v>140</v>
      </c>
      <c r="E13" s="3" t="s">
        <v>5</v>
      </c>
      <c r="F13" s="3" t="s">
        <v>5</v>
      </c>
      <c r="G13" s="3" t="s">
        <v>5</v>
      </c>
      <c r="H13" s="37">
        <f>SUM(H14:H16)</f>
        <v>0</v>
      </c>
      <c r="I13" s="37">
        <f>SUM(I14:I16)</f>
        <v>0</v>
      </c>
      <c r="J13" s="37">
        <f>SUM(J14:J16)</f>
        <v>0</v>
      </c>
      <c r="K13" s="28"/>
      <c r="L13" s="37">
        <f>SUM(L14:L16)</f>
        <v>2.6149199999999997</v>
      </c>
      <c r="M13" s="28"/>
      <c r="AI13" s="28" t="s">
        <v>67</v>
      </c>
      <c r="AS13" s="37">
        <f>SUM(AJ14:AJ16)</f>
        <v>0</v>
      </c>
      <c r="AT13" s="37">
        <f>SUM(AK14:AK16)</f>
        <v>0</v>
      </c>
      <c r="AU13" s="37">
        <f>SUM(AL14:AL16)</f>
        <v>0</v>
      </c>
    </row>
    <row r="14" spans="1:62" ht="12.75">
      <c r="A14" s="4" t="s">
        <v>6</v>
      </c>
      <c r="B14" s="4" t="s">
        <v>67</v>
      </c>
      <c r="C14" s="4" t="s">
        <v>72</v>
      </c>
      <c r="D14" s="4" t="s">
        <v>141</v>
      </c>
      <c r="E14" s="4" t="s">
        <v>304</v>
      </c>
      <c r="F14" s="20">
        <v>11</v>
      </c>
      <c r="G14" s="130">
        <v>0</v>
      </c>
      <c r="H14" s="20">
        <f>F14*AO14</f>
        <v>0</v>
      </c>
      <c r="I14" s="20">
        <f>F14*AP14</f>
        <v>0</v>
      </c>
      <c r="J14" s="20">
        <f>F14*G14</f>
        <v>0</v>
      </c>
      <c r="K14" s="20">
        <v>0.23772</v>
      </c>
      <c r="L14" s="20">
        <f>F14*K14</f>
        <v>2.6149199999999997</v>
      </c>
      <c r="M14" s="31" t="s">
        <v>329</v>
      </c>
      <c r="Z14" s="35">
        <f>IF(AQ14="5",BJ14,0)</f>
        <v>0</v>
      </c>
      <c r="AB14" s="35">
        <f>IF(AQ14="1",BH14,0)</f>
        <v>0</v>
      </c>
      <c r="AC14" s="35">
        <f>IF(AQ14="1",BI14,0)</f>
        <v>0</v>
      </c>
      <c r="AD14" s="35">
        <f>IF(AQ14="7",BH14,0)</f>
        <v>0</v>
      </c>
      <c r="AE14" s="35">
        <f>IF(AQ14="7",BI14,0)</f>
        <v>0</v>
      </c>
      <c r="AF14" s="35">
        <f>IF(AQ14="2",BH14,0)</f>
        <v>0</v>
      </c>
      <c r="AG14" s="35">
        <f>IF(AQ14="2",BI14,0)</f>
        <v>0</v>
      </c>
      <c r="AH14" s="35">
        <f>IF(AQ14="0",BJ14,0)</f>
        <v>0</v>
      </c>
      <c r="AI14" s="28" t="s">
        <v>67</v>
      </c>
      <c r="AJ14" s="20">
        <f>IF(AN14=0,J14,0)</f>
        <v>0</v>
      </c>
      <c r="AK14" s="20">
        <f>IF(AN14=15,J14,0)</f>
        <v>0</v>
      </c>
      <c r="AL14" s="20">
        <f>IF(AN14=21,J14,0)</f>
        <v>0</v>
      </c>
      <c r="AN14" s="35">
        <v>21</v>
      </c>
      <c r="AO14" s="35">
        <f>G14*0</f>
        <v>0</v>
      </c>
      <c r="AP14" s="35">
        <f>G14*(1-0)</f>
        <v>0</v>
      </c>
      <c r="AQ14" s="31" t="s">
        <v>6</v>
      </c>
      <c r="AV14" s="35">
        <f>AW14+AX14</f>
        <v>0</v>
      </c>
      <c r="AW14" s="35">
        <f>F14*AO14</f>
        <v>0</v>
      </c>
      <c r="AX14" s="35">
        <f>F14*AP14</f>
        <v>0</v>
      </c>
      <c r="AY14" s="36" t="s">
        <v>339</v>
      </c>
      <c r="AZ14" s="36" t="s">
        <v>354</v>
      </c>
      <c r="BA14" s="28" t="s">
        <v>365</v>
      </c>
      <c r="BC14" s="35">
        <f>AW14+AX14</f>
        <v>0</v>
      </c>
      <c r="BD14" s="35">
        <f>G14/(100-BE14)*100</f>
        <v>0</v>
      </c>
      <c r="BE14" s="35">
        <v>0</v>
      </c>
      <c r="BF14" s="35">
        <f>L14</f>
        <v>2.6149199999999997</v>
      </c>
      <c r="BH14" s="20">
        <f>F14*AO14</f>
        <v>0</v>
      </c>
      <c r="BI14" s="20">
        <f>F14*AP14</f>
        <v>0</v>
      </c>
      <c r="BJ14" s="20">
        <f>F14*G14</f>
        <v>0</v>
      </c>
    </row>
    <row r="15" spans="3:13" ht="12.75">
      <c r="C15" s="12" t="s">
        <v>73</v>
      </c>
      <c r="D15" s="98" t="s">
        <v>142</v>
      </c>
      <c r="E15" s="99"/>
      <c r="F15" s="99"/>
      <c r="G15" s="99"/>
      <c r="H15" s="99"/>
      <c r="I15" s="99"/>
      <c r="J15" s="99"/>
      <c r="K15" s="99"/>
      <c r="L15" s="99"/>
      <c r="M15" s="99"/>
    </row>
    <row r="16" spans="1:62" ht="12.75">
      <c r="A16" s="4" t="s">
        <v>7</v>
      </c>
      <c r="B16" s="4" t="s">
        <v>67</v>
      </c>
      <c r="C16" s="4" t="s">
        <v>74</v>
      </c>
      <c r="D16" s="4" t="s">
        <v>143</v>
      </c>
      <c r="E16" s="4" t="s">
        <v>305</v>
      </c>
      <c r="F16" s="20">
        <v>2.61492</v>
      </c>
      <c r="G16" s="130">
        <v>0</v>
      </c>
      <c r="H16" s="20">
        <f>F16*AO16</f>
        <v>0</v>
      </c>
      <c r="I16" s="20">
        <f>F16*AP16</f>
        <v>0</v>
      </c>
      <c r="J16" s="20">
        <f>F16*G16</f>
        <v>0</v>
      </c>
      <c r="K16" s="20">
        <v>0</v>
      </c>
      <c r="L16" s="20">
        <f>F16*K16</f>
        <v>0</v>
      </c>
      <c r="M16" s="31" t="s">
        <v>329</v>
      </c>
      <c r="Z16" s="35">
        <f>IF(AQ16="5",BJ16,0)</f>
        <v>0</v>
      </c>
      <c r="AB16" s="35">
        <f>IF(AQ16="1",BH16,0)</f>
        <v>0</v>
      </c>
      <c r="AC16" s="35">
        <f>IF(AQ16="1",BI16,0)</f>
        <v>0</v>
      </c>
      <c r="AD16" s="35">
        <f>IF(AQ16="7",BH16,0)</f>
        <v>0</v>
      </c>
      <c r="AE16" s="35">
        <f>IF(AQ16="7",BI16,0)</f>
        <v>0</v>
      </c>
      <c r="AF16" s="35">
        <f>IF(AQ16="2",BH16,0)</f>
        <v>0</v>
      </c>
      <c r="AG16" s="35">
        <f>IF(AQ16="2",BI16,0)</f>
        <v>0</v>
      </c>
      <c r="AH16" s="35">
        <f>IF(AQ16="0",BJ16,0)</f>
        <v>0</v>
      </c>
      <c r="AI16" s="28" t="s">
        <v>67</v>
      </c>
      <c r="AJ16" s="20">
        <f>IF(AN16=0,J16,0)</f>
        <v>0</v>
      </c>
      <c r="AK16" s="20">
        <f>IF(AN16=15,J16,0)</f>
        <v>0</v>
      </c>
      <c r="AL16" s="20">
        <f>IF(AN16=21,J16,0)</f>
        <v>0</v>
      </c>
      <c r="AN16" s="35">
        <v>21</v>
      </c>
      <c r="AO16" s="35">
        <f>G16*0</f>
        <v>0</v>
      </c>
      <c r="AP16" s="35">
        <f>G16*(1-0)</f>
        <v>0</v>
      </c>
      <c r="AQ16" s="31" t="s">
        <v>10</v>
      </c>
      <c r="AV16" s="35">
        <f>AW16+AX16</f>
        <v>0</v>
      </c>
      <c r="AW16" s="35">
        <f>F16*AO16</f>
        <v>0</v>
      </c>
      <c r="AX16" s="35">
        <f>F16*AP16</f>
        <v>0</v>
      </c>
      <c r="AY16" s="36" t="s">
        <v>339</v>
      </c>
      <c r="AZ16" s="36" t="s">
        <v>354</v>
      </c>
      <c r="BA16" s="28" t="s">
        <v>365</v>
      </c>
      <c r="BC16" s="35">
        <f>AW16+AX16</f>
        <v>0</v>
      </c>
      <c r="BD16" s="35">
        <f>G16/(100-BE16)*100</f>
        <v>0</v>
      </c>
      <c r="BE16" s="35">
        <v>0</v>
      </c>
      <c r="BF16" s="35">
        <f>L16</f>
        <v>0</v>
      </c>
      <c r="BH16" s="20">
        <f>F16*AO16</f>
        <v>0</v>
      </c>
      <c r="BI16" s="20">
        <f>F16*AP16</f>
        <v>0</v>
      </c>
      <c r="BJ16" s="20">
        <f>F16*G16</f>
        <v>0</v>
      </c>
    </row>
    <row r="17" ht="12.75">
      <c r="D17" s="15" t="s">
        <v>144</v>
      </c>
    </row>
    <row r="18" spans="1:47" ht="12.75">
      <c r="A18" s="3"/>
      <c r="B18" s="11" t="s">
        <v>67</v>
      </c>
      <c r="C18" s="11" t="s">
        <v>17</v>
      </c>
      <c r="D18" s="11" t="s">
        <v>145</v>
      </c>
      <c r="E18" s="3" t="s">
        <v>5</v>
      </c>
      <c r="F18" s="3" t="s">
        <v>5</v>
      </c>
      <c r="G18" s="3" t="s">
        <v>5</v>
      </c>
      <c r="H18" s="37">
        <f>SUM(H19:H25)</f>
        <v>0</v>
      </c>
      <c r="I18" s="37">
        <f>SUM(I19:I25)</f>
        <v>0</v>
      </c>
      <c r="J18" s="37">
        <f>SUM(J19:J25)</f>
        <v>0</v>
      </c>
      <c r="K18" s="28"/>
      <c r="L18" s="37">
        <f>SUM(L19:L25)</f>
        <v>0</v>
      </c>
      <c r="M18" s="28"/>
      <c r="AI18" s="28" t="s">
        <v>67</v>
      </c>
      <c r="AS18" s="37">
        <f>SUM(AJ19:AJ25)</f>
        <v>0</v>
      </c>
      <c r="AT18" s="37">
        <f>SUM(AK19:AK25)</f>
        <v>0</v>
      </c>
      <c r="AU18" s="37">
        <f>SUM(AL19:AL25)</f>
        <v>0</v>
      </c>
    </row>
    <row r="19" spans="1:62" ht="12.75">
      <c r="A19" s="4" t="s">
        <v>8</v>
      </c>
      <c r="B19" s="4" t="s">
        <v>67</v>
      </c>
      <c r="C19" s="4" t="s">
        <v>75</v>
      </c>
      <c r="D19" s="4" t="s">
        <v>146</v>
      </c>
      <c r="E19" s="4" t="s">
        <v>306</v>
      </c>
      <c r="F19" s="20">
        <v>51.504</v>
      </c>
      <c r="G19" s="130">
        <v>0</v>
      </c>
      <c r="H19" s="20">
        <f>F19*AO19</f>
        <v>0</v>
      </c>
      <c r="I19" s="20">
        <f>F19*AP19</f>
        <v>0</v>
      </c>
      <c r="J19" s="20">
        <f>F19*G19</f>
        <v>0</v>
      </c>
      <c r="K19" s="20">
        <v>0</v>
      </c>
      <c r="L19" s="20">
        <f>F19*K19</f>
        <v>0</v>
      </c>
      <c r="M19" s="31" t="s">
        <v>329</v>
      </c>
      <c r="Z19" s="35">
        <f>IF(AQ19="5",BJ19,0)</f>
        <v>0</v>
      </c>
      <c r="AB19" s="35">
        <f>IF(AQ19="1",BH19,0)</f>
        <v>0</v>
      </c>
      <c r="AC19" s="35">
        <f>IF(AQ19="1",BI19,0)</f>
        <v>0</v>
      </c>
      <c r="AD19" s="35">
        <f>IF(AQ19="7",BH19,0)</f>
        <v>0</v>
      </c>
      <c r="AE19" s="35">
        <f>IF(AQ19="7",BI19,0)</f>
        <v>0</v>
      </c>
      <c r="AF19" s="35">
        <f>IF(AQ19="2",BH19,0)</f>
        <v>0</v>
      </c>
      <c r="AG19" s="35">
        <f>IF(AQ19="2",BI19,0)</f>
        <v>0</v>
      </c>
      <c r="AH19" s="35">
        <f>IF(AQ19="0",BJ19,0)</f>
        <v>0</v>
      </c>
      <c r="AI19" s="28" t="s">
        <v>67</v>
      </c>
      <c r="AJ19" s="20">
        <f>IF(AN19=0,J19,0)</f>
        <v>0</v>
      </c>
      <c r="AK19" s="20">
        <f>IF(AN19=15,J19,0)</f>
        <v>0</v>
      </c>
      <c r="AL19" s="20">
        <f>IF(AN19=21,J19,0)</f>
        <v>0</v>
      </c>
      <c r="AN19" s="35">
        <v>21</v>
      </c>
      <c r="AO19" s="35">
        <f>G19*0</f>
        <v>0</v>
      </c>
      <c r="AP19" s="35">
        <f>G19*(1-0)</f>
        <v>0</v>
      </c>
      <c r="AQ19" s="31" t="s">
        <v>6</v>
      </c>
      <c r="AV19" s="35">
        <f>AW19+AX19</f>
        <v>0</v>
      </c>
      <c r="AW19" s="35">
        <f>F19*AO19</f>
        <v>0</v>
      </c>
      <c r="AX19" s="35">
        <f>F19*AP19</f>
        <v>0</v>
      </c>
      <c r="AY19" s="36" t="s">
        <v>340</v>
      </c>
      <c r="AZ19" s="36" t="s">
        <v>354</v>
      </c>
      <c r="BA19" s="28" t="s">
        <v>365</v>
      </c>
      <c r="BC19" s="35">
        <f>AW19+AX19</f>
        <v>0</v>
      </c>
      <c r="BD19" s="35">
        <f>G19/(100-BE19)*100</f>
        <v>0</v>
      </c>
      <c r="BE19" s="35">
        <v>0</v>
      </c>
      <c r="BF19" s="35">
        <f>L19</f>
        <v>0</v>
      </c>
      <c r="BH19" s="20">
        <f>F19*AO19</f>
        <v>0</v>
      </c>
      <c r="BI19" s="20">
        <f>F19*AP19</f>
        <v>0</v>
      </c>
      <c r="BJ19" s="20">
        <f>F19*G19</f>
        <v>0</v>
      </c>
    </row>
    <row r="20" spans="4:6" ht="12.75">
      <c r="D20" s="16" t="s">
        <v>147</v>
      </c>
      <c r="F20" s="21">
        <v>27</v>
      </c>
    </row>
    <row r="21" spans="4:6" ht="12.75">
      <c r="D21" s="16" t="s">
        <v>148</v>
      </c>
      <c r="F21" s="21">
        <v>16.2</v>
      </c>
    </row>
    <row r="22" spans="4:6" ht="12.75">
      <c r="D22" s="16" t="s">
        <v>149</v>
      </c>
      <c r="F22" s="21">
        <v>5.4</v>
      </c>
    </row>
    <row r="23" spans="4:6" ht="12.75">
      <c r="D23" s="16" t="s">
        <v>150</v>
      </c>
      <c r="F23" s="21">
        <v>2.304</v>
      </c>
    </row>
    <row r="24" spans="4:6" ht="12.75">
      <c r="D24" s="16" t="s">
        <v>151</v>
      </c>
      <c r="F24" s="21">
        <v>0.6</v>
      </c>
    </row>
    <row r="25" spans="1:62" ht="12.75">
      <c r="A25" s="4" t="s">
        <v>9</v>
      </c>
      <c r="B25" s="4" t="s">
        <v>67</v>
      </c>
      <c r="C25" s="4" t="s">
        <v>76</v>
      </c>
      <c r="D25" s="4" t="s">
        <v>152</v>
      </c>
      <c r="E25" s="4" t="s">
        <v>306</v>
      </c>
      <c r="F25" s="20">
        <v>35</v>
      </c>
      <c r="G25" s="130">
        <v>0</v>
      </c>
      <c r="H25" s="20">
        <f>F25*AO25</f>
        <v>0</v>
      </c>
      <c r="I25" s="20">
        <f>F25*AP25</f>
        <v>0</v>
      </c>
      <c r="J25" s="20">
        <f>F25*G25</f>
        <v>0</v>
      </c>
      <c r="K25" s="20">
        <v>0</v>
      </c>
      <c r="L25" s="20">
        <f>F25*K25</f>
        <v>0</v>
      </c>
      <c r="M25" s="31" t="s">
        <v>329</v>
      </c>
      <c r="Z25" s="35">
        <f>IF(AQ25="5",BJ25,0)</f>
        <v>0</v>
      </c>
      <c r="AB25" s="35">
        <f>IF(AQ25="1",BH25,0)</f>
        <v>0</v>
      </c>
      <c r="AC25" s="35">
        <f>IF(AQ25="1",BI25,0)</f>
        <v>0</v>
      </c>
      <c r="AD25" s="35">
        <f>IF(AQ25="7",BH25,0)</f>
        <v>0</v>
      </c>
      <c r="AE25" s="35">
        <f>IF(AQ25="7",BI25,0)</f>
        <v>0</v>
      </c>
      <c r="AF25" s="35">
        <f>IF(AQ25="2",BH25,0)</f>
        <v>0</v>
      </c>
      <c r="AG25" s="35">
        <f>IF(AQ25="2",BI25,0)</f>
        <v>0</v>
      </c>
      <c r="AH25" s="35">
        <f>IF(AQ25="0",BJ25,0)</f>
        <v>0</v>
      </c>
      <c r="AI25" s="28" t="s">
        <v>67</v>
      </c>
      <c r="AJ25" s="20">
        <f>IF(AN25=0,J25,0)</f>
        <v>0</v>
      </c>
      <c r="AK25" s="20">
        <f>IF(AN25=15,J25,0)</f>
        <v>0</v>
      </c>
      <c r="AL25" s="20">
        <f>IF(AN25=21,J25,0)</f>
        <v>0</v>
      </c>
      <c r="AN25" s="35">
        <v>21</v>
      </c>
      <c r="AO25" s="35">
        <f>G25*0</f>
        <v>0</v>
      </c>
      <c r="AP25" s="35">
        <f>G25*(1-0)</f>
        <v>0</v>
      </c>
      <c r="AQ25" s="31" t="s">
        <v>7</v>
      </c>
      <c r="AV25" s="35">
        <f>AW25+AX25</f>
        <v>0</v>
      </c>
      <c r="AW25" s="35">
        <f>F25*AO25</f>
        <v>0</v>
      </c>
      <c r="AX25" s="35">
        <f>F25*AP25</f>
        <v>0</v>
      </c>
      <c r="AY25" s="36" t="s">
        <v>340</v>
      </c>
      <c r="AZ25" s="36" t="s">
        <v>354</v>
      </c>
      <c r="BA25" s="28" t="s">
        <v>365</v>
      </c>
      <c r="BC25" s="35">
        <f>AW25+AX25</f>
        <v>0</v>
      </c>
      <c r="BD25" s="35">
        <f>G25/(100-BE25)*100</f>
        <v>0</v>
      </c>
      <c r="BE25" s="35">
        <v>0</v>
      </c>
      <c r="BF25" s="35">
        <f>L25</f>
        <v>0</v>
      </c>
      <c r="BH25" s="20">
        <f>F25*AO25</f>
        <v>0</v>
      </c>
      <c r="BI25" s="20">
        <f>F25*AP25</f>
        <v>0</v>
      </c>
      <c r="BJ25" s="20">
        <f>F25*G25</f>
        <v>0</v>
      </c>
    </row>
    <row r="26" ht="12.75">
      <c r="D26" s="15" t="s">
        <v>153</v>
      </c>
    </row>
    <row r="27" spans="4:6" ht="12.75">
      <c r="D27" s="16" t="s">
        <v>154</v>
      </c>
      <c r="F27" s="21">
        <v>35</v>
      </c>
    </row>
    <row r="28" spans="1:47" ht="12.75">
      <c r="A28" s="3"/>
      <c r="B28" s="11" t="s">
        <v>67</v>
      </c>
      <c r="C28" s="11" t="s">
        <v>23</v>
      </c>
      <c r="D28" s="11" t="s">
        <v>155</v>
      </c>
      <c r="E28" s="3" t="s">
        <v>5</v>
      </c>
      <c r="F28" s="3" t="s">
        <v>5</v>
      </c>
      <c r="G28" s="3" t="s">
        <v>5</v>
      </c>
      <c r="H28" s="37">
        <f>SUM(H29:H35)</f>
        <v>0</v>
      </c>
      <c r="I28" s="37">
        <f>SUM(I29:I35)</f>
        <v>0</v>
      </c>
      <c r="J28" s="37">
        <f>SUM(J29:J35)</f>
        <v>0</v>
      </c>
      <c r="K28" s="28"/>
      <c r="L28" s="37">
        <f>SUM(L29:L35)</f>
        <v>4.3527</v>
      </c>
      <c r="M28" s="28"/>
      <c r="AI28" s="28" t="s">
        <v>67</v>
      </c>
      <c r="AS28" s="37">
        <f>SUM(AJ29:AJ35)</f>
        <v>0</v>
      </c>
      <c r="AT28" s="37">
        <f>SUM(AK29:AK35)</f>
        <v>0</v>
      </c>
      <c r="AU28" s="37">
        <f>SUM(AL29:AL35)</f>
        <v>0</v>
      </c>
    </row>
    <row r="29" spans="1:62" ht="12.75">
      <c r="A29" s="4" t="s">
        <v>10</v>
      </c>
      <c r="B29" s="4" t="s">
        <v>67</v>
      </c>
      <c r="C29" s="4" t="s">
        <v>77</v>
      </c>
      <c r="D29" s="4" t="s">
        <v>156</v>
      </c>
      <c r="E29" s="4" t="s">
        <v>307</v>
      </c>
      <c r="F29" s="20">
        <v>108</v>
      </c>
      <c r="G29" s="130">
        <v>0</v>
      </c>
      <c r="H29" s="20">
        <f>F29*AO29</f>
        <v>0</v>
      </c>
      <c r="I29" s="20">
        <f>F29*AP29</f>
        <v>0</v>
      </c>
      <c r="J29" s="20">
        <f>F29*G29</f>
        <v>0</v>
      </c>
      <c r="K29" s="20">
        <v>0</v>
      </c>
      <c r="L29" s="20">
        <f>F29*K29</f>
        <v>0</v>
      </c>
      <c r="M29" s="31" t="s">
        <v>329</v>
      </c>
      <c r="Z29" s="35">
        <f>IF(AQ29="5",BJ29,0)</f>
        <v>0</v>
      </c>
      <c r="AB29" s="35">
        <f>IF(AQ29="1",BH29,0)</f>
        <v>0</v>
      </c>
      <c r="AC29" s="35">
        <f>IF(AQ29="1",BI29,0)</f>
        <v>0</v>
      </c>
      <c r="AD29" s="35">
        <f>IF(AQ29="7",BH29,0)</f>
        <v>0</v>
      </c>
      <c r="AE29" s="35">
        <f>IF(AQ29="7",BI29,0)</f>
        <v>0</v>
      </c>
      <c r="AF29" s="35">
        <f>IF(AQ29="2",BH29,0)</f>
        <v>0</v>
      </c>
      <c r="AG29" s="35">
        <f>IF(AQ29="2",BI29,0)</f>
        <v>0</v>
      </c>
      <c r="AH29" s="35">
        <f>IF(AQ29="0",BJ29,0)</f>
        <v>0</v>
      </c>
      <c r="AI29" s="28" t="s">
        <v>67</v>
      </c>
      <c r="AJ29" s="20">
        <f>IF(AN29=0,J29,0)</f>
        <v>0</v>
      </c>
      <c r="AK29" s="20">
        <f>IF(AN29=15,J29,0)</f>
        <v>0</v>
      </c>
      <c r="AL29" s="20">
        <f>IF(AN29=21,J29,0)</f>
        <v>0</v>
      </c>
      <c r="AN29" s="35">
        <v>21</v>
      </c>
      <c r="AO29" s="35">
        <f>G29*0</f>
        <v>0</v>
      </c>
      <c r="AP29" s="35">
        <f>G29*(1-0)</f>
        <v>0</v>
      </c>
      <c r="AQ29" s="31" t="s">
        <v>6</v>
      </c>
      <c r="AV29" s="35">
        <f>AW29+AX29</f>
        <v>0</v>
      </c>
      <c r="AW29" s="35">
        <f>F29*AO29</f>
        <v>0</v>
      </c>
      <c r="AX29" s="35">
        <f>F29*AP29</f>
        <v>0</v>
      </c>
      <c r="AY29" s="36" t="s">
        <v>341</v>
      </c>
      <c r="AZ29" s="36" t="s">
        <v>354</v>
      </c>
      <c r="BA29" s="28" t="s">
        <v>365</v>
      </c>
      <c r="BC29" s="35">
        <f>AW29+AX29</f>
        <v>0</v>
      </c>
      <c r="BD29" s="35">
        <f>G29/(100-BE29)*100</f>
        <v>0</v>
      </c>
      <c r="BE29" s="35">
        <v>0</v>
      </c>
      <c r="BF29" s="35">
        <f>L29</f>
        <v>0</v>
      </c>
      <c r="BH29" s="20">
        <f>F29*AO29</f>
        <v>0</v>
      </c>
      <c r="BI29" s="20">
        <f>F29*AP29</f>
        <v>0</v>
      </c>
      <c r="BJ29" s="20">
        <f>F29*G29</f>
        <v>0</v>
      </c>
    </row>
    <row r="30" spans="4:6" ht="12.75">
      <c r="D30" s="16" t="s">
        <v>157</v>
      </c>
      <c r="F30" s="21">
        <v>81</v>
      </c>
    </row>
    <row r="31" spans="4:6" ht="12.75">
      <c r="D31" s="16" t="s">
        <v>158</v>
      </c>
      <c r="F31" s="21">
        <v>27</v>
      </c>
    </row>
    <row r="32" spans="3:13" ht="12.75">
      <c r="C32" s="12" t="s">
        <v>73</v>
      </c>
      <c r="D32" s="98" t="s">
        <v>159</v>
      </c>
      <c r="E32" s="99"/>
      <c r="F32" s="99"/>
      <c r="G32" s="99"/>
      <c r="H32" s="99"/>
      <c r="I32" s="99"/>
      <c r="J32" s="99"/>
      <c r="K32" s="99"/>
      <c r="L32" s="99"/>
      <c r="M32" s="99"/>
    </row>
    <row r="33" spans="1:62" ht="12.75">
      <c r="A33" s="4" t="s">
        <v>11</v>
      </c>
      <c r="B33" s="4" t="s">
        <v>67</v>
      </c>
      <c r="C33" s="4" t="s">
        <v>78</v>
      </c>
      <c r="D33" s="4" t="s">
        <v>160</v>
      </c>
      <c r="E33" s="4" t="s">
        <v>307</v>
      </c>
      <c r="F33" s="20">
        <v>15</v>
      </c>
      <c r="G33" s="130">
        <v>0</v>
      </c>
      <c r="H33" s="20">
        <f>F33*AO33</f>
        <v>0</v>
      </c>
      <c r="I33" s="20">
        <f>F33*AP33</f>
        <v>0</v>
      </c>
      <c r="J33" s="20">
        <f>F33*G33</f>
        <v>0</v>
      </c>
      <c r="K33" s="20">
        <v>0.29018</v>
      </c>
      <c r="L33" s="20">
        <f>F33*K33</f>
        <v>4.3527</v>
      </c>
      <c r="M33" s="31" t="s">
        <v>329</v>
      </c>
      <c r="Z33" s="35">
        <f>IF(AQ33="5",BJ33,0)</f>
        <v>0</v>
      </c>
      <c r="AB33" s="35">
        <f>IF(AQ33="1",BH33,0)</f>
        <v>0</v>
      </c>
      <c r="AC33" s="35">
        <f>IF(AQ33="1",BI33,0)</f>
        <v>0</v>
      </c>
      <c r="AD33" s="35">
        <f>IF(AQ33="7",BH33,0)</f>
        <v>0</v>
      </c>
      <c r="AE33" s="35">
        <f>IF(AQ33="7",BI33,0)</f>
        <v>0</v>
      </c>
      <c r="AF33" s="35">
        <f>IF(AQ33="2",BH33,0)</f>
        <v>0</v>
      </c>
      <c r="AG33" s="35">
        <f>IF(AQ33="2",BI33,0)</f>
        <v>0</v>
      </c>
      <c r="AH33" s="35">
        <f>IF(AQ33="0",BJ33,0)</f>
        <v>0</v>
      </c>
      <c r="AI33" s="28" t="s">
        <v>67</v>
      </c>
      <c r="AJ33" s="20">
        <f>IF(AN33=0,J33,0)</f>
        <v>0</v>
      </c>
      <c r="AK33" s="20">
        <f>IF(AN33=15,J33,0)</f>
        <v>0</v>
      </c>
      <c r="AL33" s="20">
        <f>IF(AN33=21,J33,0)</f>
        <v>0</v>
      </c>
      <c r="AN33" s="35">
        <v>21</v>
      </c>
      <c r="AO33" s="35">
        <f>G33*0.229418938931963</f>
        <v>0</v>
      </c>
      <c r="AP33" s="35">
        <f>G33*(1-0.229418938931963)</f>
        <v>0</v>
      </c>
      <c r="AQ33" s="31" t="s">
        <v>6</v>
      </c>
      <c r="AV33" s="35">
        <f>AW33+AX33</f>
        <v>0</v>
      </c>
      <c r="AW33" s="35">
        <f>F33*AO33</f>
        <v>0</v>
      </c>
      <c r="AX33" s="35">
        <f>F33*AP33</f>
        <v>0</v>
      </c>
      <c r="AY33" s="36" t="s">
        <v>341</v>
      </c>
      <c r="AZ33" s="36" t="s">
        <v>354</v>
      </c>
      <c r="BA33" s="28" t="s">
        <v>365</v>
      </c>
      <c r="BC33" s="35">
        <f>AW33+AX33</f>
        <v>0</v>
      </c>
      <c r="BD33" s="35">
        <f>G33/(100-BE33)*100</f>
        <v>0</v>
      </c>
      <c r="BE33" s="35">
        <v>0</v>
      </c>
      <c r="BF33" s="35">
        <f>L33</f>
        <v>4.3527</v>
      </c>
      <c r="BH33" s="20">
        <f>F33*AO33</f>
        <v>0</v>
      </c>
      <c r="BI33" s="20">
        <f>F33*AP33</f>
        <v>0</v>
      </c>
      <c r="BJ33" s="20">
        <f>F33*G33</f>
        <v>0</v>
      </c>
    </row>
    <row r="34" ht="25.5">
      <c r="D34" s="15" t="s">
        <v>161</v>
      </c>
    </row>
    <row r="35" spans="1:62" ht="12.75">
      <c r="A35" s="4" t="s">
        <v>12</v>
      </c>
      <c r="B35" s="4" t="s">
        <v>67</v>
      </c>
      <c r="C35" s="4" t="s">
        <v>79</v>
      </c>
      <c r="D35" s="4" t="s">
        <v>162</v>
      </c>
      <c r="E35" s="4" t="s">
        <v>307</v>
      </c>
      <c r="F35" s="20">
        <v>140</v>
      </c>
      <c r="G35" s="130">
        <v>0</v>
      </c>
      <c r="H35" s="20">
        <f>F35*AO35</f>
        <v>0</v>
      </c>
      <c r="I35" s="20">
        <f>F35*AP35</f>
        <v>0</v>
      </c>
      <c r="J35" s="20">
        <f>F35*G35</f>
        <v>0</v>
      </c>
      <c r="K35" s="20">
        <v>0</v>
      </c>
      <c r="L35" s="20">
        <f>F35*K35</f>
        <v>0</v>
      </c>
      <c r="M35" s="31" t="s">
        <v>329</v>
      </c>
      <c r="Z35" s="35">
        <f>IF(AQ35="5",BJ35,0)</f>
        <v>0</v>
      </c>
      <c r="AB35" s="35">
        <f>IF(AQ35="1",BH35,0)</f>
        <v>0</v>
      </c>
      <c r="AC35" s="35">
        <f>IF(AQ35="1",BI35,0)</f>
        <v>0</v>
      </c>
      <c r="AD35" s="35">
        <f>IF(AQ35="7",BH35,0)</f>
        <v>0</v>
      </c>
      <c r="AE35" s="35">
        <f>IF(AQ35="7",BI35,0)</f>
        <v>0</v>
      </c>
      <c r="AF35" s="35">
        <f>IF(AQ35="2",BH35,0)</f>
        <v>0</v>
      </c>
      <c r="AG35" s="35">
        <f>IF(AQ35="2",BI35,0)</f>
        <v>0</v>
      </c>
      <c r="AH35" s="35">
        <f>IF(AQ35="0",BJ35,0)</f>
        <v>0</v>
      </c>
      <c r="AI35" s="28" t="s">
        <v>67</v>
      </c>
      <c r="AJ35" s="20">
        <f>IF(AN35=0,J35,0)</f>
        <v>0</v>
      </c>
      <c r="AK35" s="20">
        <f>IF(AN35=15,J35,0)</f>
        <v>0</v>
      </c>
      <c r="AL35" s="20">
        <f>IF(AN35=21,J35,0)</f>
        <v>0</v>
      </c>
      <c r="AN35" s="35">
        <v>21</v>
      </c>
      <c r="AO35" s="35">
        <f>G35*0</f>
        <v>0</v>
      </c>
      <c r="AP35" s="35">
        <f>G35*(1-0)</f>
        <v>0</v>
      </c>
      <c r="AQ35" s="31" t="s">
        <v>6</v>
      </c>
      <c r="AV35" s="35">
        <f>AW35+AX35</f>
        <v>0</v>
      </c>
      <c r="AW35" s="35">
        <f>F35*AO35</f>
        <v>0</v>
      </c>
      <c r="AX35" s="35">
        <f>F35*AP35</f>
        <v>0</v>
      </c>
      <c r="AY35" s="36" t="s">
        <v>341</v>
      </c>
      <c r="AZ35" s="36" t="s">
        <v>354</v>
      </c>
      <c r="BA35" s="28" t="s">
        <v>365</v>
      </c>
      <c r="BC35" s="35">
        <f>AW35+AX35</f>
        <v>0</v>
      </c>
      <c r="BD35" s="35">
        <f>G35/(100-BE35)*100</f>
        <v>0</v>
      </c>
      <c r="BE35" s="35">
        <v>0</v>
      </c>
      <c r="BF35" s="35">
        <f>L35</f>
        <v>0</v>
      </c>
      <c r="BH35" s="20">
        <f>F35*AO35</f>
        <v>0</v>
      </c>
      <c r="BI35" s="20">
        <f>F35*AP35</f>
        <v>0</v>
      </c>
      <c r="BJ35" s="20">
        <f>F35*G35</f>
        <v>0</v>
      </c>
    </row>
    <row r="36" ht="12.75">
      <c r="D36" s="15" t="s">
        <v>163</v>
      </c>
    </row>
    <row r="37" spans="3:13" ht="12.75">
      <c r="C37" s="12" t="s">
        <v>73</v>
      </c>
      <c r="D37" s="98" t="s">
        <v>164</v>
      </c>
      <c r="E37" s="99"/>
      <c r="F37" s="99"/>
      <c r="G37" s="99"/>
      <c r="H37" s="99"/>
      <c r="I37" s="99"/>
      <c r="J37" s="99"/>
      <c r="K37" s="99"/>
      <c r="L37" s="99"/>
      <c r="M37" s="99"/>
    </row>
    <row r="38" spans="3:13" ht="12.75">
      <c r="C38" s="13" t="s">
        <v>65</v>
      </c>
      <c r="D38" s="100" t="s">
        <v>165</v>
      </c>
      <c r="E38" s="101"/>
      <c r="F38" s="101"/>
      <c r="G38" s="101"/>
      <c r="H38" s="101"/>
      <c r="I38" s="101"/>
      <c r="J38" s="101"/>
      <c r="K38" s="101"/>
      <c r="L38" s="101"/>
      <c r="M38" s="101"/>
    </row>
    <row r="39" spans="1:47" ht="12.75">
      <c r="A39" s="3"/>
      <c r="B39" s="11" t="s">
        <v>67</v>
      </c>
      <c r="C39" s="11" t="s">
        <v>32</v>
      </c>
      <c r="D39" s="11" t="s">
        <v>166</v>
      </c>
      <c r="E39" s="3" t="s">
        <v>5</v>
      </c>
      <c r="F39" s="3" t="s">
        <v>5</v>
      </c>
      <c r="G39" s="3" t="s">
        <v>5</v>
      </c>
      <c r="H39" s="37">
        <f>SUM(H40:H40)</f>
        <v>0</v>
      </c>
      <c r="I39" s="37">
        <f>SUM(I40:I40)</f>
        <v>0</v>
      </c>
      <c r="J39" s="37">
        <f>SUM(J40:J40)</f>
        <v>0</v>
      </c>
      <c r="K39" s="28"/>
      <c r="L39" s="37">
        <f>SUM(L40:L40)</f>
        <v>9.4943232</v>
      </c>
      <c r="M39" s="28"/>
      <c r="AI39" s="28" t="s">
        <v>67</v>
      </c>
      <c r="AS39" s="37">
        <f>SUM(AJ40:AJ40)</f>
        <v>0</v>
      </c>
      <c r="AT39" s="37">
        <f>SUM(AK40:AK40)</f>
        <v>0</v>
      </c>
      <c r="AU39" s="37">
        <f>SUM(AL40:AL40)</f>
        <v>0</v>
      </c>
    </row>
    <row r="40" spans="1:62" ht="12.75">
      <c r="A40" s="4" t="s">
        <v>13</v>
      </c>
      <c r="B40" s="4" t="s">
        <v>67</v>
      </c>
      <c r="C40" s="4" t="s">
        <v>80</v>
      </c>
      <c r="D40" s="4" t="s">
        <v>167</v>
      </c>
      <c r="E40" s="4" t="s">
        <v>306</v>
      </c>
      <c r="F40" s="20">
        <v>3.672</v>
      </c>
      <c r="G40" s="130">
        <v>0</v>
      </c>
      <c r="H40" s="20">
        <f>F40*AO40</f>
        <v>0</v>
      </c>
      <c r="I40" s="20">
        <f>F40*AP40</f>
        <v>0</v>
      </c>
      <c r="J40" s="20">
        <f>F40*G40</f>
        <v>0</v>
      </c>
      <c r="K40" s="20">
        <v>2.5856</v>
      </c>
      <c r="L40" s="20">
        <f>F40*K40</f>
        <v>9.4943232</v>
      </c>
      <c r="M40" s="31" t="s">
        <v>329</v>
      </c>
      <c r="Z40" s="35">
        <f>IF(AQ40="5",BJ40,0)</f>
        <v>0</v>
      </c>
      <c r="AB40" s="35">
        <f>IF(AQ40="1",BH40,0)</f>
        <v>0</v>
      </c>
      <c r="AC40" s="35">
        <f>IF(AQ40="1",BI40,0)</f>
        <v>0</v>
      </c>
      <c r="AD40" s="35">
        <f>IF(AQ40="7",BH40,0)</f>
        <v>0</v>
      </c>
      <c r="AE40" s="35">
        <f>IF(AQ40="7",BI40,0)</f>
        <v>0</v>
      </c>
      <c r="AF40" s="35">
        <f>IF(AQ40="2",BH40,0)</f>
        <v>0</v>
      </c>
      <c r="AG40" s="35">
        <f>IF(AQ40="2",BI40,0)</f>
        <v>0</v>
      </c>
      <c r="AH40" s="35">
        <f>IF(AQ40="0",BJ40,0)</f>
        <v>0</v>
      </c>
      <c r="AI40" s="28" t="s">
        <v>67</v>
      </c>
      <c r="AJ40" s="20">
        <f>IF(AN40=0,J40,0)</f>
        <v>0</v>
      </c>
      <c r="AK40" s="20">
        <f>IF(AN40=15,J40,0)</f>
        <v>0</v>
      </c>
      <c r="AL40" s="20">
        <f>IF(AN40=21,J40,0)</f>
        <v>0</v>
      </c>
      <c r="AN40" s="35">
        <v>21</v>
      </c>
      <c r="AO40" s="35">
        <f>G40*0.954015821014782</f>
        <v>0</v>
      </c>
      <c r="AP40" s="35">
        <f>G40*(1-0.954015821014782)</f>
        <v>0</v>
      </c>
      <c r="AQ40" s="31" t="s">
        <v>6</v>
      </c>
      <c r="AV40" s="35">
        <f>AW40+AX40</f>
        <v>0</v>
      </c>
      <c r="AW40" s="35">
        <f>F40*AO40</f>
        <v>0</v>
      </c>
      <c r="AX40" s="35">
        <f>F40*AP40</f>
        <v>0</v>
      </c>
      <c r="AY40" s="36" t="s">
        <v>342</v>
      </c>
      <c r="AZ40" s="36" t="s">
        <v>355</v>
      </c>
      <c r="BA40" s="28" t="s">
        <v>365</v>
      </c>
      <c r="BC40" s="35">
        <f>AW40+AX40</f>
        <v>0</v>
      </c>
      <c r="BD40" s="35">
        <f>G40/(100-BE40)*100</f>
        <v>0</v>
      </c>
      <c r="BE40" s="35">
        <v>0</v>
      </c>
      <c r="BF40" s="35">
        <f>L40</f>
        <v>9.4943232</v>
      </c>
      <c r="BH40" s="20">
        <f>F40*AO40</f>
        <v>0</v>
      </c>
      <c r="BI40" s="20">
        <f>F40*AP40</f>
        <v>0</v>
      </c>
      <c r="BJ40" s="20">
        <f>F40*G40</f>
        <v>0</v>
      </c>
    </row>
    <row r="41" spans="4:6" ht="12.75">
      <c r="D41" s="16" t="s">
        <v>168</v>
      </c>
      <c r="F41" s="21">
        <v>3.072</v>
      </c>
    </row>
    <row r="42" spans="4:6" ht="12.75">
      <c r="D42" s="16" t="s">
        <v>169</v>
      </c>
      <c r="F42" s="21">
        <v>0.6</v>
      </c>
    </row>
    <row r="43" spans="3:13" ht="12.75">
      <c r="C43" s="12" t="s">
        <v>73</v>
      </c>
      <c r="D43" s="98" t="s">
        <v>170</v>
      </c>
      <c r="E43" s="99"/>
      <c r="F43" s="99"/>
      <c r="G43" s="99"/>
      <c r="H43" s="99"/>
      <c r="I43" s="99"/>
      <c r="J43" s="99"/>
      <c r="K43" s="99"/>
      <c r="L43" s="99"/>
      <c r="M43" s="99"/>
    </row>
    <row r="44" spans="1:47" ht="12.75">
      <c r="A44" s="3"/>
      <c r="B44" s="11" t="s">
        <v>67</v>
      </c>
      <c r="C44" s="11" t="s">
        <v>33</v>
      </c>
      <c r="D44" s="11" t="s">
        <v>171</v>
      </c>
      <c r="E44" s="3" t="s">
        <v>5</v>
      </c>
      <c r="F44" s="3" t="s">
        <v>5</v>
      </c>
      <c r="G44" s="3" t="s">
        <v>5</v>
      </c>
      <c r="H44" s="37">
        <f>SUM(H45:H56)</f>
        <v>0</v>
      </c>
      <c r="I44" s="37">
        <f>SUM(I45:I56)</f>
        <v>0</v>
      </c>
      <c r="J44" s="37">
        <f>SUM(J45:J56)</f>
        <v>0</v>
      </c>
      <c r="K44" s="28"/>
      <c r="L44" s="37">
        <f>SUM(L45:L56)</f>
        <v>0.208</v>
      </c>
      <c r="M44" s="28"/>
      <c r="AI44" s="28" t="s">
        <v>67</v>
      </c>
      <c r="AS44" s="37">
        <f>SUM(AJ45:AJ56)</f>
        <v>0</v>
      </c>
      <c r="AT44" s="37">
        <f>SUM(AK45:AK56)</f>
        <v>0</v>
      </c>
      <c r="AU44" s="37">
        <f>SUM(AL45:AL56)</f>
        <v>0</v>
      </c>
    </row>
    <row r="45" spans="1:62" ht="12.75">
      <c r="A45" s="4" t="s">
        <v>14</v>
      </c>
      <c r="B45" s="4" t="s">
        <v>67</v>
      </c>
      <c r="C45" s="4" t="s">
        <v>81</v>
      </c>
      <c r="D45" s="4" t="s">
        <v>172</v>
      </c>
      <c r="E45" s="4" t="s">
        <v>307</v>
      </c>
      <c r="F45" s="20">
        <v>65</v>
      </c>
      <c r="G45" s="130">
        <v>0</v>
      </c>
      <c r="H45" s="20">
        <f>F45*AO45</f>
        <v>0</v>
      </c>
      <c r="I45" s="20">
        <f>F45*AP45</f>
        <v>0</v>
      </c>
      <c r="J45" s="20">
        <f>F45*G45</f>
        <v>0</v>
      </c>
      <c r="K45" s="20">
        <v>0</v>
      </c>
      <c r="L45" s="20">
        <f>F45*K45</f>
        <v>0</v>
      </c>
      <c r="M45" s="31" t="s">
        <v>329</v>
      </c>
      <c r="Z45" s="35">
        <f>IF(AQ45="5",BJ45,0)</f>
        <v>0</v>
      </c>
      <c r="AB45" s="35">
        <f>IF(AQ45="1",BH45,0)</f>
        <v>0</v>
      </c>
      <c r="AC45" s="35">
        <f>IF(AQ45="1",BI45,0)</f>
        <v>0</v>
      </c>
      <c r="AD45" s="35">
        <f>IF(AQ45="7",BH45,0)</f>
        <v>0</v>
      </c>
      <c r="AE45" s="35">
        <f>IF(AQ45="7",BI45,0)</f>
        <v>0</v>
      </c>
      <c r="AF45" s="35">
        <f>IF(AQ45="2",BH45,0)</f>
        <v>0</v>
      </c>
      <c r="AG45" s="35">
        <f>IF(AQ45="2",BI45,0)</f>
        <v>0</v>
      </c>
      <c r="AH45" s="35">
        <f>IF(AQ45="0",BJ45,0)</f>
        <v>0</v>
      </c>
      <c r="AI45" s="28" t="s">
        <v>67</v>
      </c>
      <c r="AJ45" s="20">
        <f>IF(AN45=0,J45,0)</f>
        <v>0</v>
      </c>
      <c r="AK45" s="20">
        <f>IF(AN45=15,J45,0)</f>
        <v>0</v>
      </c>
      <c r="AL45" s="20">
        <f>IF(AN45=21,J45,0)</f>
        <v>0</v>
      </c>
      <c r="AN45" s="35">
        <v>21</v>
      </c>
      <c r="AO45" s="35">
        <f>G45*0.145513630619245</f>
        <v>0</v>
      </c>
      <c r="AP45" s="35">
        <f>G45*(1-0.145513630619245)</f>
        <v>0</v>
      </c>
      <c r="AQ45" s="31" t="s">
        <v>6</v>
      </c>
      <c r="AV45" s="35">
        <f>AW45+AX45</f>
        <v>0</v>
      </c>
      <c r="AW45" s="35">
        <f>F45*AO45</f>
        <v>0</v>
      </c>
      <c r="AX45" s="35">
        <f>F45*AP45</f>
        <v>0</v>
      </c>
      <c r="AY45" s="36" t="s">
        <v>343</v>
      </c>
      <c r="AZ45" s="36" t="s">
        <v>355</v>
      </c>
      <c r="BA45" s="28" t="s">
        <v>365</v>
      </c>
      <c r="BC45" s="35">
        <f>AW45+AX45</f>
        <v>0</v>
      </c>
      <c r="BD45" s="35">
        <f>G45/(100-BE45)*100</f>
        <v>0</v>
      </c>
      <c r="BE45" s="35">
        <v>0</v>
      </c>
      <c r="BF45" s="35">
        <f>L45</f>
        <v>0</v>
      </c>
      <c r="BH45" s="20">
        <f>F45*AO45</f>
        <v>0</v>
      </c>
      <c r="BI45" s="20">
        <f>F45*AP45</f>
        <v>0</v>
      </c>
      <c r="BJ45" s="20">
        <f>F45*G45</f>
        <v>0</v>
      </c>
    </row>
    <row r="46" spans="4:6" ht="12.75">
      <c r="D46" s="16" t="s">
        <v>173</v>
      </c>
      <c r="F46" s="21">
        <v>15</v>
      </c>
    </row>
    <row r="47" spans="4:6" ht="12.75">
      <c r="D47" s="16" t="s">
        <v>174</v>
      </c>
      <c r="F47" s="21">
        <v>50</v>
      </c>
    </row>
    <row r="48" spans="3:13" ht="12.75">
      <c r="C48" s="12" t="s">
        <v>73</v>
      </c>
      <c r="D48" s="98" t="s">
        <v>175</v>
      </c>
      <c r="E48" s="99"/>
      <c r="F48" s="99"/>
      <c r="G48" s="99"/>
      <c r="H48" s="99"/>
      <c r="I48" s="99"/>
      <c r="J48" s="99"/>
      <c r="K48" s="99"/>
      <c r="L48" s="99"/>
      <c r="M48" s="99"/>
    </row>
    <row r="49" spans="1:62" ht="12.75">
      <c r="A49" s="5" t="s">
        <v>15</v>
      </c>
      <c r="B49" s="5" t="s">
        <v>67</v>
      </c>
      <c r="C49" s="5" t="s">
        <v>82</v>
      </c>
      <c r="D49" s="5" t="s">
        <v>176</v>
      </c>
      <c r="E49" s="5" t="s">
        <v>307</v>
      </c>
      <c r="F49" s="22">
        <v>80</v>
      </c>
      <c r="G49" s="130">
        <v>0</v>
      </c>
      <c r="H49" s="22">
        <f>F49*AO49</f>
        <v>0</v>
      </c>
      <c r="I49" s="22">
        <f>F49*AP49</f>
        <v>0</v>
      </c>
      <c r="J49" s="22">
        <f>F49*G49</f>
        <v>0</v>
      </c>
      <c r="K49" s="22">
        <v>0.0026</v>
      </c>
      <c r="L49" s="22">
        <f>F49*K49</f>
        <v>0.208</v>
      </c>
      <c r="M49" s="32" t="s">
        <v>329</v>
      </c>
      <c r="Z49" s="35">
        <f>IF(AQ49="5",BJ49,0)</f>
        <v>0</v>
      </c>
      <c r="AB49" s="35">
        <f>IF(AQ49="1",BH49,0)</f>
        <v>0</v>
      </c>
      <c r="AC49" s="35">
        <f>IF(AQ49="1",BI49,0)</f>
        <v>0</v>
      </c>
      <c r="AD49" s="35">
        <f>IF(AQ49="7",BH49,0)</f>
        <v>0</v>
      </c>
      <c r="AE49" s="35">
        <f>IF(AQ49="7",BI49,0)</f>
        <v>0</v>
      </c>
      <c r="AF49" s="35">
        <f>IF(AQ49="2",BH49,0)</f>
        <v>0</v>
      </c>
      <c r="AG49" s="35">
        <f>IF(AQ49="2",BI49,0)</f>
        <v>0</v>
      </c>
      <c r="AH49" s="35">
        <f>IF(AQ49="0",BJ49,0)</f>
        <v>0</v>
      </c>
      <c r="AI49" s="28" t="s">
        <v>67</v>
      </c>
      <c r="AJ49" s="22">
        <f>IF(AN49=0,J49,0)</f>
        <v>0</v>
      </c>
      <c r="AK49" s="22">
        <f>IF(AN49=15,J49,0)</f>
        <v>0</v>
      </c>
      <c r="AL49" s="22">
        <f>IF(AN49=21,J49,0)</f>
        <v>0</v>
      </c>
      <c r="AN49" s="35">
        <v>21</v>
      </c>
      <c r="AO49" s="35">
        <f>G49*1</f>
        <v>0</v>
      </c>
      <c r="AP49" s="35">
        <f>G49*(1-1)</f>
        <v>0</v>
      </c>
      <c r="AQ49" s="32" t="s">
        <v>6</v>
      </c>
      <c r="AV49" s="35">
        <f>AW49+AX49</f>
        <v>0</v>
      </c>
      <c r="AW49" s="35">
        <f>F49*AO49</f>
        <v>0</v>
      </c>
      <c r="AX49" s="35">
        <f>F49*AP49</f>
        <v>0</v>
      </c>
      <c r="AY49" s="36" t="s">
        <v>343</v>
      </c>
      <c r="AZ49" s="36" t="s">
        <v>355</v>
      </c>
      <c r="BA49" s="28" t="s">
        <v>365</v>
      </c>
      <c r="BC49" s="35">
        <f>AW49+AX49</f>
        <v>0</v>
      </c>
      <c r="BD49" s="35">
        <f>G49/(100-BE49)*100</f>
        <v>0</v>
      </c>
      <c r="BE49" s="35">
        <v>0</v>
      </c>
      <c r="BF49" s="35">
        <f>L49</f>
        <v>0.208</v>
      </c>
      <c r="BH49" s="22">
        <f>F49*AO49</f>
        <v>0</v>
      </c>
      <c r="BI49" s="22">
        <f>F49*AP49</f>
        <v>0</v>
      </c>
      <c r="BJ49" s="22">
        <f>F49*G49</f>
        <v>0</v>
      </c>
    </row>
    <row r="50" spans="4:6" ht="12.75">
      <c r="D50" s="16" t="s">
        <v>177</v>
      </c>
      <c r="F50" s="21">
        <v>65</v>
      </c>
    </row>
    <row r="51" spans="4:6" ht="12.75">
      <c r="D51" s="16" t="s">
        <v>178</v>
      </c>
      <c r="F51" s="21">
        <v>15</v>
      </c>
    </row>
    <row r="52" spans="3:13" ht="25.5" customHeight="1">
      <c r="C52" s="12" t="s">
        <v>73</v>
      </c>
      <c r="D52" s="98" t="s">
        <v>179</v>
      </c>
      <c r="E52" s="99"/>
      <c r="F52" s="99"/>
      <c r="G52" s="99"/>
      <c r="H52" s="99"/>
      <c r="I52" s="99"/>
      <c r="J52" s="99"/>
      <c r="K52" s="99"/>
      <c r="L52" s="99"/>
      <c r="M52" s="99"/>
    </row>
    <row r="53" spans="1:62" ht="12.75">
      <c r="A53" s="4" t="s">
        <v>16</v>
      </c>
      <c r="B53" s="4" t="s">
        <v>67</v>
      </c>
      <c r="C53" s="4" t="s">
        <v>83</v>
      </c>
      <c r="D53" s="4" t="s">
        <v>180</v>
      </c>
      <c r="E53" s="4" t="s">
        <v>304</v>
      </c>
      <c r="F53" s="20">
        <v>28</v>
      </c>
      <c r="G53" s="130">
        <v>0</v>
      </c>
      <c r="H53" s="20">
        <f>F53*AO53</f>
        <v>0</v>
      </c>
      <c r="I53" s="20">
        <f>F53*AP53</f>
        <v>0</v>
      </c>
      <c r="J53" s="20">
        <f>F53*G53</f>
        <v>0</v>
      </c>
      <c r="K53" s="20">
        <v>0</v>
      </c>
      <c r="L53" s="20">
        <f>F53*K53</f>
        <v>0</v>
      </c>
      <c r="M53" s="31" t="s">
        <v>329</v>
      </c>
      <c r="Z53" s="35">
        <f>IF(AQ53="5",BJ53,0)</f>
        <v>0</v>
      </c>
      <c r="AB53" s="35">
        <f>IF(AQ53="1",BH53,0)</f>
        <v>0</v>
      </c>
      <c r="AC53" s="35">
        <f>IF(AQ53="1",BI53,0)</f>
        <v>0</v>
      </c>
      <c r="AD53" s="35">
        <f>IF(AQ53="7",BH53,0)</f>
        <v>0</v>
      </c>
      <c r="AE53" s="35">
        <f>IF(AQ53="7",BI53,0)</f>
        <v>0</v>
      </c>
      <c r="AF53" s="35">
        <f>IF(AQ53="2",BH53,0)</f>
        <v>0</v>
      </c>
      <c r="AG53" s="35">
        <f>IF(AQ53="2",BI53,0)</f>
        <v>0</v>
      </c>
      <c r="AH53" s="35">
        <f>IF(AQ53="0",BJ53,0)</f>
        <v>0</v>
      </c>
      <c r="AI53" s="28" t="s">
        <v>67</v>
      </c>
      <c r="AJ53" s="20">
        <f>IF(AN53=0,J53,0)</f>
        <v>0</v>
      </c>
      <c r="AK53" s="20">
        <f>IF(AN53=15,J53,0)</f>
        <v>0</v>
      </c>
      <c r="AL53" s="20">
        <f>IF(AN53=21,J53,0)</f>
        <v>0</v>
      </c>
      <c r="AN53" s="35">
        <v>21</v>
      </c>
      <c r="AO53" s="35">
        <f>G53*0.854770433083686</f>
        <v>0</v>
      </c>
      <c r="AP53" s="35">
        <f>G53*(1-0.854770433083686)</f>
        <v>0</v>
      </c>
      <c r="AQ53" s="31" t="s">
        <v>6</v>
      </c>
      <c r="AV53" s="35">
        <f>AW53+AX53</f>
        <v>0</v>
      </c>
      <c r="AW53" s="35">
        <f>F53*AO53</f>
        <v>0</v>
      </c>
      <c r="AX53" s="35">
        <f>F53*AP53</f>
        <v>0</v>
      </c>
      <c r="AY53" s="36" t="s">
        <v>343</v>
      </c>
      <c r="AZ53" s="36" t="s">
        <v>355</v>
      </c>
      <c r="BA53" s="28" t="s">
        <v>365</v>
      </c>
      <c r="BC53" s="35">
        <f>AW53+AX53</f>
        <v>0</v>
      </c>
      <c r="BD53" s="35">
        <f>G53/(100-BE53)*100</f>
        <v>0</v>
      </c>
      <c r="BE53" s="35">
        <v>0</v>
      </c>
      <c r="BF53" s="35">
        <f>L53</f>
        <v>0</v>
      </c>
      <c r="BH53" s="20">
        <f>F53*AO53</f>
        <v>0</v>
      </c>
      <c r="BI53" s="20">
        <f>F53*AP53</f>
        <v>0</v>
      </c>
      <c r="BJ53" s="20">
        <f>F53*G53</f>
        <v>0</v>
      </c>
    </row>
    <row r="54" spans="4:6" ht="12.75">
      <c r="D54" s="16" t="s">
        <v>181</v>
      </c>
      <c r="F54" s="21">
        <v>10</v>
      </c>
    </row>
    <row r="55" spans="4:6" ht="12.75">
      <c r="D55" s="16" t="s">
        <v>182</v>
      </c>
      <c r="F55" s="21">
        <v>18</v>
      </c>
    </row>
    <row r="56" spans="1:62" ht="12.75">
      <c r="A56" s="4" t="s">
        <v>17</v>
      </c>
      <c r="B56" s="4" t="s">
        <v>67</v>
      </c>
      <c r="C56" s="4" t="s">
        <v>84</v>
      </c>
      <c r="D56" s="4" t="s">
        <v>183</v>
      </c>
      <c r="E56" s="4" t="s">
        <v>307</v>
      </c>
      <c r="F56" s="20">
        <v>65</v>
      </c>
      <c r="G56" s="130">
        <v>0</v>
      </c>
      <c r="H56" s="20">
        <f>F56*AO56</f>
        <v>0</v>
      </c>
      <c r="I56" s="20">
        <f>F56*AP56</f>
        <v>0</v>
      </c>
      <c r="J56" s="20">
        <f>F56*G56</f>
        <v>0</v>
      </c>
      <c r="K56" s="20">
        <v>0</v>
      </c>
      <c r="L56" s="20">
        <f>F56*K56</f>
        <v>0</v>
      </c>
      <c r="M56" s="31" t="s">
        <v>329</v>
      </c>
      <c r="Z56" s="35">
        <f>IF(AQ56="5",BJ56,0)</f>
        <v>0</v>
      </c>
      <c r="AB56" s="35">
        <f>IF(AQ56="1",BH56,0)</f>
        <v>0</v>
      </c>
      <c r="AC56" s="35">
        <f>IF(AQ56="1",BI56,0)</f>
        <v>0</v>
      </c>
      <c r="AD56" s="35">
        <f>IF(AQ56="7",BH56,0)</f>
        <v>0</v>
      </c>
      <c r="AE56" s="35">
        <f>IF(AQ56="7",BI56,0)</f>
        <v>0</v>
      </c>
      <c r="AF56" s="35">
        <f>IF(AQ56="2",BH56,0)</f>
        <v>0</v>
      </c>
      <c r="AG56" s="35">
        <f>IF(AQ56="2",BI56,0)</f>
        <v>0</v>
      </c>
      <c r="AH56" s="35">
        <f>IF(AQ56="0",BJ56,0)</f>
        <v>0</v>
      </c>
      <c r="AI56" s="28" t="s">
        <v>67</v>
      </c>
      <c r="AJ56" s="20">
        <f>IF(AN56=0,J56,0)</f>
        <v>0</v>
      </c>
      <c r="AK56" s="20">
        <f>IF(AN56=15,J56,0)</f>
        <v>0</v>
      </c>
      <c r="AL56" s="20">
        <f>IF(AN56=21,J56,0)</f>
        <v>0</v>
      </c>
      <c r="AN56" s="35">
        <v>21</v>
      </c>
      <c r="AO56" s="35">
        <f>G56*0.741289844329133</f>
        <v>0</v>
      </c>
      <c r="AP56" s="35">
        <f>G56*(1-0.741289844329133)</f>
        <v>0</v>
      </c>
      <c r="AQ56" s="31" t="s">
        <v>6</v>
      </c>
      <c r="AV56" s="35">
        <f>AW56+AX56</f>
        <v>0</v>
      </c>
      <c r="AW56" s="35">
        <f>F56*AO56</f>
        <v>0</v>
      </c>
      <c r="AX56" s="35">
        <f>F56*AP56</f>
        <v>0</v>
      </c>
      <c r="AY56" s="36" t="s">
        <v>343</v>
      </c>
      <c r="AZ56" s="36" t="s">
        <v>355</v>
      </c>
      <c r="BA56" s="28" t="s">
        <v>365</v>
      </c>
      <c r="BC56" s="35">
        <f>AW56+AX56</f>
        <v>0</v>
      </c>
      <c r="BD56" s="35">
        <f>G56/(100-BE56)*100</f>
        <v>0</v>
      </c>
      <c r="BE56" s="35">
        <v>0</v>
      </c>
      <c r="BF56" s="35">
        <f>L56</f>
        <v>0</v>
      </c>
      <c r="BH56" s="20">
        <f>F56*AO56</f>
        <v>0</v>
      </c>
      <c r="BI56" s="20">
        <f>F56*AP56</f>
        <v>0</v>
      </c>
      <c r="BJ56" s="20">
        <f>F56*G56</f>
        <v>0</v>
      </c>
    </row>
    <row r="57" spans="4:6" ht="12.75">
      <c r="D57" s="16" t="s">
        <v>173</v>
      </c>
      <c r="F57" s="21">
        <v>15</v>
      </c>
    </row>
    <row r="58" spans="4:6" ht="12.75">
      <c r="D58" s="16" t="s">
        <v>174</v>
      </c>
      <c r="F58" s="21">
        <v>50</v>
      </c>
    </row>
    <row r="59" spans="1:47" ht="12.75">
      <c r="A59" s="3"/>
      <c r="B59" s="11" t="s">
        <v>67</v>
      </c>
      <c r="C59" s="11" t="s">
        <v>50</v>
      </c>
      <c r="D59" s="11" t="s">
        <v>184</v>
      </c>
      <c r="E59" s="3" t="s">
        <v>5</v>
      </c>
      <c r="F59" s="3" t="s">
        <v>5</v>
      </c>
      <c r="G59" s="3" t="s">
        <v>5</v>
      </c>
      <c r="H59" s="37">
        <f>SUM(H60:H65)</f>
        <v>0</v>
      </c>
      <c r="I59" s="37">
        <f>SUM(I60:I65)</f>
        <v>0</v>
      </c>
      <c r="J59" s="37">
        <f>SUM(J60:J65)</f>
        <v>0</v>
      </c>
      <c r="K59" s="28"/>
      <c r="L59" s="37">
        <f>SUM(L60:L65)</f>
        <v>34.2</v>
      </c>
      <c r="M59" s="28"/>
      <c r="AI59" s="28" t="s">
        <v>67</v>
      </c>
      <c r="AS59" s="37">
        <f>SUM(AJ60:AJ65)</f>
        <v>0</v>
      </c>
      <c r="AT59" s="37">
        <f>SUM(AK60:AK65)</f>
        <v>0</v>
      </c>
      <c r="AU59" s="37">
        <f>SUM(AL60:AL65)</f>
        <v>0</v>
      </c>
    </row>
    <row r="60" spans="1:62" ht="12.75">
      <c r="A60" s="4" t="s">
        <v>18</v>
      </c>
      <c r="B60" s="4" t="s">
        <v>67</v>
      </c>
      <c r="C60" s="4" t="s">
        <v>85</v>
      </c>
      <c r="D60" s="4" t="s">
        <v>185</v>
      </c>
      <c r="E60" s="4" t="s">
        <v>307</v>
      </c>
      <c r="F60" s="20">
        <v>99.25</v>
      </c>
      <c r="G60" s="130">
        <v>0</v>
      </c>
      <c r="H60" s="20">
        <f>F60*AO60</f>
        <v>0</v>
      </c>
      <c r="I60" s="20">
        <f>F60*AP60</f>
        <v>0</v>
      </c>
      <c r="J60" s="20">
        <f>F60*G60</f>
        <v>0</v>
      </c>
      <c r="K60" s="20">
        <v>0</v>
      </c>
      <c r="L60" s="20">
        <f>F60*K60</f>
        <v>0</v>
      </c>
      <c r="M60" s="31" t="s">
        <v>329</v>
      </c>
      <c r="Z60" s="35">
        <f>IF(AQ60="5",BJ60,0)</f>
        <v>0</v>
      </c>
      <c r="AB60" s="35">
        <f>IF(AQ60="1",BH60,0)</f>
        <v>0</v>
      </c>
      <c r="AC60" s="35">
        <f>IF(AQ60="1",BI60,0)</f>
        <v>0</v>
      </c>
      <c r="AD60" s="35">
        <f>IF(AQ60="7",BH60,0)</f>
        <v>0</v>
      </c>
      <c r="AE60" s="35">
        <f>IF(AQ60="7",BI60,0)</f>
        <v>0</v>
      </c>
      <c r="AF60" s="35">
        <f>IF(AQ60="2",BH60,0)</f>
        <v>0</v>
      </c>
      <c r="AG60" s="35">
        <f>IF(AQ60="2",BI60,0)</f>
        <v>0</v>
      </c>
      <c r="AH60" s="35">
        <f>IF(AQ60="0",BJ60,0)</f>
        <v>0</v>
      </c>
      <c r="AI60" s="28" t="s">
        <v>67</v>
      </c>
      <c r="AJ60" s="20">
        <f>IF(AN60=0,J60,0)</f>
        <v>0</v>
      </c>
      <c r="AK60" s="20">
        <f>IF(AN60=15,J60,0)</f>
        <v>0</v>
      </c>
      <c r="AL60" s="20">
        <f>IF(AN60=21,J60,0)</f>
        <v>0</v>
      </c>
      <c r="AN60" s="35">
        <v>21</v>
      </c>
      <c r="AO60" s="35">
        <f>G60*0</f>
        <v>0</v>
      </c>
      <c r="AP60" s="35">
        <f>G60*(1-0)</f>
        <v>0</v>
      </c>
      <c r="AQ60" s="31" t="s">
        <v>6</v>
      </c>
      <c r="AV60" s="35">
        <f>AW60+AX60</f>
        <v>0</v>
      </c>
      <c r="AW60" s="35">
        <f>F60*AO60</f>
        <v>0</v>
      </c>
      <c r="AX60" s="35">
        <f>F60*AP60</f>
        <v>0</v>
      </c>
      <c r="AY60" s="36" t="s">
        <v>344</v>
      </c>
      <c r="AZ60" s="36" t="s">
        <v>356</v>
      </c>
      <c r="BA60" s="28" t="s">
        <v>365</v>
      </c>
      <c r="BC60" s="35">
        <f>AW60+AX60</f>
        <v>0</v>
      </c>
      <c r="BD60" s="35">
        <f>G60/(100-BE60)*100</f>
        <v>0</v>
      </c>
      <c r="BE60" s="35">
        <v>0</v>
      </c>
      <c r="BF60" s="35">
        <f>L60</f>
        <v>0</v>
      </c>
      <c r="BH60" s="20">
        <f>F60*AO60</f>
        <v>0</v>
      </c>
      <c r="BI60" s="20">
        <f>F60*AP60</f>
        <v>0</v>
      </c>
      <c r="BJ60" s="20">
        <f>F60*G60</f>
        <v>0</v>
      </c>
    </row>
    <row r="61" spans="4:6" ht="12.75">
      <c r="D61" s="16" t="s">
        <v>186</v>
      </c>
      <c r="F61" s="21">
        <v>72.25</v>
      </c>
    </row>
    <row r="62" spans="4:6" ht="12.75">
      <c r="D62" s="16" t="s">
        <v>158</v>
      </c>
      <c r="F62" s="21">
        <v>27</v>
      </c>
    </row>
    <row r="63" spans="1:62" ht="12.75">
      <c r="A63" s="5" t="s">
        <v>19</v>
      </c>
      <c r="B63" s="5" t="s">
        <v>67</v>
      </c>
      <c r="C63" s="5" t="s">
        <v>86</v>
      </c>
      <c r="D63" s="5" t="s">
        <v>187</v>
      </c>
      <c r="E63" s="5" t="s">
        <v>305</v>
      </c>
      <c r="F63" s="22">
        <v>7.2</v>
      </c>
      <c r="G63" s="130">
        <v>0</v>
      </c>
      <c r="H63" s="22">
        <f>F63*AO63</f>
        <v>0</v>
      </c>
      <c r="I63" s="22">
        <f>F63*AP63</f>
        <v>0</v>
      </c>
      <c r="J63" s="22">
        <f>F63*G63</f>
        <v>0</v>
      </c>
      <c r="K63" s="22">
        <v>1</v>
      </c>
      <c r="L63" s="22">
        <f>F63*K63</f>
        <v>7.2</v>
      </c>
      <c r="M63" s="32" t="s">
        <v>329</v>
      </c>
      <c r="Z63" s="35">
        <f>IF(AQ63="5",BJ63,0)</f>
        <v>0</v>
      </c>
      <c r="AB63" s="35">
        <f>IF(AQ63="1",BH63,0)</f>
        <v>0</v>
      </c>
      <c r="AC63" s="35">
        <f>IF(AQ63="1",BI63,0)</f>
        <v>0</v>
      </c>
      <c r="AD63" s="35">
        <f>IF(AQ63="7",BH63,0)</f>
        <v>0</v>
      </c>
      <c r="AE63" s="35">
        <f>IF(AQ63="7",BI63,0)</f>
        <v>0</v>
      </c>
      <c r="AF63" s="35">
        <f>IF(AQ63="2",BH63,0)</f>
        <v>0</v>
      </c>
      <c r="AG63" s="35">
        <f>IF(AQ63="2",BI63,0)</f>
        <v>0</v>
      </c>
      <c r="AH63" s="35">
        <f>IF(AQ63="0",BJ63,0)</f>
        <v>0</v>
      </c>
      <c r="AI63" s="28" t="s">
        <v>67</v>
      </c>
      <c r="AJ63" s="22">
        <f>IF(AN63=0,J63,0)</f>
        <v>0</v>
      </c>
      <c r="AK63" s="22">
        <f>IF(AN63=15,J63,0)</f>
        <v>0</v>
      </c>
      <c r="AL63" s="22">
        <f>IF(AN63=21,J63,0)</f>
        <v>0</v>
      </c>
      <c r="AN63" s="35">
        <v>21</v>
      </c>
      <c r="AO63" s="35">
        <f>G63*1</f>
        <v>0</v>
      </c>
      <c r="AP63" s="35">
        <f>G63*(1-1)</f>
        <v>0</v>
      </c>
      <c r="AQ63" s="32" t="s">
        <v>6</v>
      </c>
      <c r="AV63" s="35">
        <f>AW63+AX63</f>
        <v>0</v>
      </c>
      <c r="AW63" s="35">
        <f>F63*AO63</f>
        <v>0</v>
      </c>
      <c r="AX63" s="35">
        <f>F63*AP63</f>
        <v>0</v>
      </c>
      <c r="AY63" s="36" t="s">
        <v>344</v>
      </c>
      <c r="AZ63" s="36" t="s">
        <v>356</v>
      </c>
      <c r="BA63" s="28" t="s">
        <v>365</v>
      </c>
      <c r="BC63" s="35">
        <f>AW63+AX63</f>
        <v>0</v>
      </c>
      <c r="BD63" s="35">
        <f>G63/(100-BE63)*100</f>
        <v>0</v>
      </c>
      <c r="BE63" s="35">
        <v>0</v>
      </c>
      <c r="BF63" s="35">
        <f>L63</f>
        <v>7.2</v>
      </c>
      <c r="BH63" s="22">
        <f>F63*AO63</f>
        <v>0</v>
      </c>
      <c r="BI63" s="22">
        <f>F63*AP63</f>
        <v>0</v>
      </c>
      <c r="BJ63" s="22">
        <f>F63*G63</f>
        <v>0</v>
      </c>
    </row>
    <row r="64" spans="4:6" ht="12.75">
      <c r="D64" s="16" t="s">
        <v>188</v>
      </c>
      <c r="F64" s="21">
        <v>7.2</v>
      </c>
    </row>
    <row r="65" spans="1:62" ht="12.75">
      <c r="A65" s="5" t="s">
        <v>20</v>
      </c>
      <c r="B65" s="5" t="s">
        <v>67</v>
      </c>
      <c r="C65" s="5" t="s">
        <v>87</v>
      </c>
      <c r="D65" s="5" t="s">
        <v>189</v>
      </c>
      <c r="E65" s="5" t="s">
        <v>305</v>
      </c>
      <c r="F65" s="22">
        <v>27</v>
      </c>
      <c r="G65" s="130">
        <v>0</v>
      </c>
      <c r="H65" s="22">
        <f>F65*AO65</f>
        <v>0</v>
      </c>
      <c r="I65" s="22">
        <f>F65*AP65</f>
        <v>0</v>
      </c>
      <c r="J65" s="22">
        <f>F65*G65</f>
        <v>0</v>
      </c>
      <c r="K65" s="22">
        <v>1</v>
      </c>
      <c r="L65" s="22">
        <f>F65*K65</f>
        <v>27</v>
      </c>
      <c r="M65" s="32" t="s">
        <v>329</v>
      </c>
      <c r="Z65" s="35">
        <f>IF(AQ65="5",BJ65,0)</f>
        <v>0</v>
      </c>
      <c r="AB65" s="35">
        <f>IF(AQ65="1",BH65,0)</f>
        <v>0</v>
      </c>
      <c r="AC65" s="35">
        <f>IF(AQ65="1",BI65,0)</f>
        <v>0</v>
      </c>
      <c r="AD65" s="35">
        <f>IF(AQ65="7",BH65,0)</f>
        <v>0</v>
      </c>
      <c r="AE65" s="35">
        <f>IF(AQ65="7",BI65,0)</f>
        <v>0</v>
      </c>
      <c r="AF65" s="35">
        <f>IF(AQ65="2",BH65,0)</f>
        <v>0</v>
      </c>
      <c r="AG65" s="35">
        <f>IF(AQ65="2",BI65,0)</f>
        <v>0</v>
      </c>
      <c r="AH65" s="35">
        <f>IF(AQ65="0",BJ65,0)</f>
        <v>0</v>
      </c>
      <c r="AI65" s="28" t="s">
        <v>67</v>
      </c>
      <c r="AJ65" s="22">
        <f>IF(AN65=0,J65,0)</f>
        <v>0</v>
      </c>
      <c r="AK65" s="22">
        <f>IF(AN65=15,J65,0)</f>
        <v>0</v>
      </c>
      <c r="AL65" s="22">
        <f>IF(AN65=21,J65,0)</f>
        <v>0</v>
      </c>
      <c r="AN65" s="35">
        <v>21</v>
      </c>
      <c r="AO65" s="35">
        <f>G65*1</f>
        <v>0</v>
      </c>
      <c r="AP65" s="35">
        <f>G65*(1-1)</f>
        <v>0</v>
      </c>
      <c r="AQ65" s="32" t="s">
        <v>6</v>
      </c>
      <c r="AV65" s="35">
        <f>AW65+AX65</f>
        <v>0</v>
      </c>
      <c r="AW65" s="35">
        <f>F65*AO65</f>
        <v>0</v>
      </c>
      <c r="AX65" s="35">
        <f>F65*AP65</f>
        <v>0</v>
      </c>
      <c r="AY65" s="36" t="s">
        <v>344</v>
      </c>
      <c r="AZ65" s="36" t="s">
        <v>356</v>
      </c>
      <c r="BA65" s="28" t="s">
        <v>365</v>
      </c>
      <c r="BC65" s="35">
        <f>AW65+AX65</f>
        <v>0</v>
      </c>
      <c r="BD65" s="35">
        <f>G65/(100-BE65)*100</f>
        <v>0</v>
      </c>
      <c r="BE65" s="35">
        <v>0</v>
      </c>
      <c r="BF65" s="35">
        <f>L65</f>
        <v>27</v>
      </c>
      <c r="BH65" s="22">
        <f>F65*AO65</f>
        <v>0</v>
      </c>
      <c r="BI65" s="22">
        <f>F65*AP65</f>
        <v>0</v>
      </c>
      <c r="BJ65" s="22">
        <f>F65*G65</f>
        <v>0</v>
      </c>
    </row>
    <row r="66" spans="4:6" ht="12.75">
      <c r="D66" s="16" t="s">
        <v>190</v>
      </c>
      <c r="F66" s="21">
        <v>27</v>
      </c>
    </row>
    <row r="67" spans="1:47" ht="12.75">
      <c r="A67" s="3"/>
      <c r="B67" s="11" t="s">
        <v>67</v>
      </c>
      <c r="C67" s="11" t="s">
        <v>63</v>
      </c>
      <c r="D67" s="11" t="s">
        <v>191</v>
      </c>
      <c r="E67" s="3" t="s">
        <v>5</v>
      </c>
      <c r="F67" s="3" t="s">
        <v>5</v>
      </c>
      <c r="G67" s="3" t="s">
        <v>5</v>
      </c>
      <c r="H67" s="37">
        <f>SUM(H68:H68)</f>
        <v>0</v>
      </c>
      <c r="I67" s="37">
        <f>SUM(I68:I68)</f>
        <v>0</v>
      </c>
      <c r="J67" s="37">
        <f>SUM(J68:J68)</f>
        <v>0</v>
      </c>
      <c r="K67" s="28"/>
      <c r="L67" s="37">
        <f>SUM(L68:L68)</f>
        <v>0.7225</v>
      </c>
      <c r="M67" s="28"/>
      <c r="AI67" s="28" t="s">
        <v>67</v>
      </c>
      <c r="AS67" s="37">
        <f>SUM(AJ68:AJ68)</f>
        <v>0</v>
      </c>
      <c r="AT67" s="37">
        <f>SUM(AK68:AK68)</f>
        <v>0</v>
      </c>
      <c r="AU67" s="37">
        <f>SUM(AL68:AL68)</f>
        <v>0</v>
      </c>
    </row>
    <row r="68" spans="1:62" ht="12.75">
      <c r="A68" s="4" t="s">
        <v>21</v>
      </c>
      <c r="B68" s="4" t="s">
        <v>67</v>
      </c>
      <c r="C68" s="4" t="s">
        <v>88</v>
      </c>
      <c r="D68" s="4" t="s">
        <v>192</v>
      </c>
      <c r="E68" s="4" t="s">
        <v>307</v>
      </c>
      <c r="F68" s="20">
        <v>72.25</v>
      </c>
      <c r="G68" s="130">
        <v>0</v>
      </c>
      <c r="H68" s="20">
        <f>F68*AO68</f>
        <v>0</v>
      </c>
      <c r="I68" s="20">
        <f>F68*AP68</f>
        <v>0</v>
      </c>
      <c r="J68" s="20">
        <f>F68*G68</f>
        <v>0</v>
      </c>
      <c r="K68" s="20">
        <v>0.01</v>
      </c>
      <c r="L68" s="20">
        <f>F68*K68</f>
        <v>0.7225</v>
      </c>
      <c r="M68" s="31" t="s">
        <v>329</v>
      </c>
      <c r="Z68" s="35">
        <f>IF(AQ68="5",BJ68,0)</f>
        <v>0</v>
      </c>
      <c r="AB68" s="35">
        <f>IF(AQ68="1",BH68,0)</f>
        <v>0</v>
      </c>
      <c r="AC68" s="35">
        <f>IF(AQ68="1",BI68,0)</f>
        <v>0</v>
      </c>
      <c r="AD68" s="35">
        <f>IF(AQ68="7",BH68,0)</f>
        <v>0</v>
      </c>
      <c r="AE68" s="35">
        <f>IF(AQ68="7",BI68,0)</f>
        <v>0</v>
      </c>
      <c r="AF68" s="35">
        <f>IF(AQ68="2",BH68,0)</f>
        <v>0</v>
      </c>
      <c r="AG68" s="35">
        <f>IF(AQ68="2",BI68,0)</f>
        <v>0</v>
      </c>
      <c r="AH68" s="35">
        <f>IF(AQ68="0",BJ68,0)</f>
        <v>0</v>
      </c>
      <c r="AI68" s="28" t="s">
        <v>67</v>
      </c>
      <c r="AJ68" s="20">
        <f>IF(AN68=0,J68,0)</f>
        <v>0</v>
      </c>
      <c r="AK68" s="20">
        <f>IF(AN68=15,J68,0)</f>
        <v>0</v>
      </c>
      <c r="AL68" s="20">
        <f>IF(AN68=21,J68,0)</f>
        <v>0</v>
      </c>
      <c r="AN68" s="35">
        <v>21</v>
      </c>
      <c r="AO68" s="35">
        <f>G68*0.967679597123844</f>
        <v>0</v>
      </c>
      <c r="AP68" s="35">
        <f>G68*(1-0.967679597123844)</f>
        <v>0</v>
      </c>
      <c r="AQ68" s="31" t="s">
        <v>6</v>
      </c>
      <c r="AV68" s="35">
        <f>AW68+AX68</f>
        <v>0</v>
      </c>
      <c r="AW68" s="35">
        <f>F68*AO68</f>
        <v>0</v>
      </c>
      <c r="AX68" s="35">
        <f>F68*AP68</f>
        <v>0</v>
      </c>
      <c r="AY68" s="36" t="s">
        <v>345</v>
      </c>
      <c r="AZ68" s="36" t="s">
        <v>357</v>
      </c>
      <c r="BA68" s="28" t="s">
        <v>365</v>
      </c>
      <c r="BC68" s="35">
        <f>AW68+AX68</f>
        <v>0</v>
      </c>
      <c r="BD68" s="35">
        <f>G68/(100-BE68)*100</f>
        <v>0</v>
      </c>
      <c r="BE68" s="35">
        <v>0</v>
      </c>
      <c r="BF68" s="35">
        <f>L68</f>
        <v>0.7225</v>
      </c>
      <c r="BH68" s="20">
        <f>F68*AO68</f>
        <v>0</v>
      </c>
      <c r="BI68" s="20">
        <f>F68*AP68</f>
        <v>0</v>
      </c>
      <c r="BJ68" s="20">
        <f>F68*G68</f>
        <v>0</v>
      </c>
    </row>
    <row r="69" spans="4:6" ht="12.75">
      <c r="D69" s="16" t="s">
        <v>193</v>
      </c>
      <c r="F69" s="21">
        <v>72.25</v>
      </c>
    </row>
    <row r="70" spans="3:13" ht="12.75">
      <c r="C70" s="12" t="s">
        <v>73</v>
      </c>
      <c r="D70" s="98" t="s">
        <v>194</v>
      </c>
      <c r="E70" s="99"/>
      <c r="F70" s="99"/>
      <c r="G70" s="99"/>
      <c r="H70" s="99"/>
      <c r="I70" s="99"/>
      <c r="J70" s="99"/>
      <c r="K70" s="99"/>
      <c r="L70" s="99"/>
      <c r="M70" s="99"/>
    </row>
    <row r="71" spans="1:47" ht="12.75">
      <c r="A71" s="3"/>
      <c r="B71" s="11" t="s">
        <v>67</v>
      </c>
      <c r="C71" s="11" t="s">
        <v>64</v>
      </c>
      <c r="D71" s="11" t="s">
        <v>195</v>
      </c>
      <c r="E71" s="3" t="s">
        <v>5</v>
      </c>
      <c r="F71" s="3" t="s">
        <v>5</v>
      </c>
      <c r="G71" s="3" t="s">
        <v>5</v>
      </c>
      <c r="H71" s="37">
        <f>SUM(H72:H76)</f>
        <v>0</v>
      </c>
      <c r="I71" s="37">
        <f>SUM(I72:I76)</f>
        <v>0</v>
      </c>
      <c r="J71" s="37">
        <f>SUM(J72:J76)</f>
        <v>0</v>
      </c>
      <c r="K71" s="28"/>
      <c r="L71" s="37">
        <f>SUM(L72:L76)</f>
        <v>5.255459999999999</v>
      </c>
      <c r="M71" s="28"/>
      <c r="AI71" s="28" t="s">
        <v>67</v>
      </c>
      <c r="AS71" s="37">
        <f>SUM(AJ72:AJ76)</f>
        <v>0</v>
      </c>
      <c r="AT71" s="37">
        <f>SUM(AK72:AK76)</f>
        <v>0</v>
      </c>
      <c r="AU71" s="37">
        <f>SUM(AL72:AL76)</f>
        <v>0</v>
      </c>
    </row>
    <row r="72" spans="1:62" ht="12.75">
      <c r="A72" s="4" t="s">
        <v>22</v>
      </c>
      <c r="B72" s="4" t="s">
        <v>67</v>
      </c>
      <c r="C72" s="4" t="s">
        <v>89</v>
      </c>
      <c r="D72" s="4" t="s">
        <v>196</v>
      </c>
      <c r="E72" s="4" t="s">
        <v>307</v>
      </c>
      <c r="F72" s="20">
        <v>25.8</v>
      </c>
      <c r="G72" s="130">
        <v>0</v>
      </c>
      <c r="H72" s="20">
        <f>F72*AO72</f>
        <v>0</v>
      </c>
      <c r="I72" s="20">
        <f>F72*AP72</f>
        <v>0</v>
      </c>
      <c r="J72" s="20">
        <f>F72*G72</f>
        <v>0</v>
      </c>
      <c r="K72" s="20">
        <v>0.0739</v>
      </c>
      <c r="L72" s="20">
        <f>F72*K72</f>
        <v>1.90662</v>
      </c>
      <c r="M72" s="31" t="s">
        <v>329</v>
      </c>
      <c r="Z72" s="35">
        <f>IF(AQ72="5",BJ72,0)</f>
        <v>0</v>
      </c>
      <c r="AB72" s="35">
        <f>IF(AQ72="1",BH72,0)</f>
        <v>0</v>
      </c>
      <c r="AC72" s="35">
        <f>IF(AQ72="1",BI72,0)</f>
        <v>0</v>
      </c>
      <c r="AD72" s="35">
        <f>IF(AQ72="7",BH72,0)</f>
        <v>0</v>
      </c>
      <c r="AE72" s="35">
        <f>IF(AQ72="7",BI72,0)</f>
        <v>0</v>
      </c>
      <c r="AF72" s="35">
        <f>IF(AQ72="2",BH72,0)</f>
        <v>0</v>
      </c>
      <c r="AG72" s="35">
        <f>IF(AQ72="2",BI72,0)</f>
        <v>0</v>
      </c>
      <c r="AH72" s="35">
        <f>IF(AQ72="0",BJ72,0)</f>
        <v>0</v>
      </c>
      <c r="AI72" s="28" t="s">
        <v>67</v>
      </c>
      <c r="AJ72" s="20">
        <f>IF(AN72=0,J72,0)</f>
        <v>0</v>
      </c>
      <c r="AK72" s="20">
        <f>IF(AN72=15,J72,0)</f>
        <v>0</v>
      </c>
      <c r="AL72" s="20">
        <f>IF(AN72=21,J72,0)</f>
        <v>0</v>
      </c>
      <c r="AN72" s="35">
        <v>21</v>
      </c>
      <c r="AO72" s="35">
        <f>G72*0.230753373902499</f>
        <v>0</v>
      </c>
      <c r="AP72" s="35">
        <f>G72*(1-0.230753373902499)</f>
        <v>0</v>
      </c>
      <c r="AQ72" s="31" t="s">
        <v>6</v>
      </c>
      <c r="AV72" s="35">
        <f>AW72+AX72</f>
        <v>0</v>
      </c>
      <c r="AW72" s="35">
        <f>F72*AO72</f>
        <v>0</v>
      </c>
      <c r="AX72" s="35">
        <f>F72*AP72</f>
        <v>0</v>
      </c>
      <c r="AY72" s="36" t="s">
        <v>346</v>
      </c>
      <c r="AZ72" s="36" t="s">
        <v>357</v>
      </c>
      <c r="BA72" s="28" t="s">
        <v>365</v>
      </c>
      <c r="BC72" s="35">
        <f>AW72+AX72</f>
        <v>0</v>
      </c>
      <c r="BD72" s="35">
        <f>G72/(100-BE72)*100</f>
        <v>0</v>
      </c>
      <c r="BE72" s="35">
        <v>0</v>
      </c>
      <c r="BF72" s="35">
        <f>L72</f>
        <v>1.90662</v>
      </c>
      <c r="BH72" s="20">
        <f>F72*AO72</f>
        <v>0</v>
      </c>
      <c r="BI72" s="20">
        <f>F72*AP72</f>
        <v>0</v>
      </c>
      <c r="BJ72" s="20">
        <f>F72*G72</f>
        <v>0</v>
      </c>
    </row>
    <row r="73" spans="4:6" ht="12.75">
      <c r="D73" s="16" t="s">
        <v>197</v>
      </c>
      <c r="F73" s="21">
        <v>15.6</v>
      </c>
    </row>
    <row r="74" spans="4:6" ht="12.75">
      <c r="D74" s="16" t="s">
        <v>198</v>
      </c>
      <c r="F74" s="21">
        <v>10.2</v>
      </c>
    </row>
    <row r="75" spans="3:13" ht="25.5" customHeight="1">
      <c r="C75" s="12" t="s">
        <v>73</v>
      </c>
      <c r="D75" s="98" t="s">
        <v>199</v>
      </c>
      <c r="E75" s="99"/>
      <c r="F75" s="99"/>
      <c r="G75" s="99"/>
      <c r="H75" s="99"/>
      <c r="I75" s="99"/>
      <c r="J75" s="99"/>
      <c r="K75" s="99"/>
      <c r="L75" s="99"/>
      <c r="M75" s="99"/>
    </row>
    <row r="76" spans="1:62" ht="12.75">
      <c r="A76" s="5" t="s">
        <v>23</v>
      </c>
      <c r="B76" s="5" t="s">
        <v>67</v>
      </c>
      <c r="C76" s="5" t="s">
        <v>90</v>
      </c>
      <c r="D76" s="5" t="s">
        <v>200</v>
      </c>
      <c r="E76" s="5" t="s">
        <v>307</v>
      </c>
      <c r="F76" s="22">
        <v>28.38</v>
      </c>
      <c r="G76" s="130">
        <v>0</v>
      </c>
      <c r="H76" s="22">
        <f>F76*AO76</f>
        <v>0</v>
      </c>
      <c r="I76" s="22">
        <f>F76*AP76</f>
        <v>0</v>
      </c>
      <c r="J76" s="22">
        <f>F76*G76</f>
        <v>0</v>
      </c>
      <c r="K76" s="22">
        <v>0.118</v>
      </c>
      <c r="L76" s="22">
        <f>F76*K76</f>
        <v>3.3488399999999996</v>
      </c>
      <c r="M76" s="32" t="s">
        <v>329</v>
      </c>
      <c r="Z76" s="35">
        <f>IF(AQ76="5",BJ76,0)</f>
        <v>0</v>
      </c>
      <c r="AB76" s="35">
        <f>IF(AQ76="1",BH76,0)</f>
        <v>0</v>
      </c>
      <c r="AC76" s="35">
        <f>IF(AQ76="1",BI76,0)</f>
        <v>0</v>
      </c>
      <c r="AD76" s="35">
        <f>IF(AQ76="7",BH76,0)</f>
        <v>0</v>
      </c>
      <c r="AE76" s="35">
        <f>IF(AQ76="7",BI76,0)</f>
        <v>0</v>
      </c>
      <c r="AF76" s="35">
        <f>IF(AQ76="2",BH76,0)</f>
        <v>0</v>
      </c>
      <c r="AG76" s="35">
        <f>IF(AQ76="2",BI76,0)</f>
        <v>0</v>
      </c>
      <c r="AH76" s="35">
        <f>IF(AQ76="0",BJ76,0)</f>
        <v>0</v>
      </c>
      <c r="AI76" s="28" t="s">
        <v>67</v>
      </c>
      <c r="AJ76" s="22">
        <f>IF(AN76=0,J76,0)</f>
        <v>0</v>
      </c>
      <c r="AK76" s="22">
        <f>IF(AN76=15,J76,0)</f>
        <v>0</v>
      </c>
      <c r="AL76" s="22">
        <f>IF(AN76=21,J76,0)</f>
        <v>0</v>
      </c>
      <c r="AN76" s="35">
        <v>21</v>
      </c>
      <c r="AO76" s="35">
        <f>G76*1</f>
        <v>0</v>
      </c>
      <c r="AP76" s="35">
        <f>G76*(1-1)</f>
        <v>0</v>
      </c>
      <c r="AQ76" s="32" t="s">
        <v>6</v>
      </c>
      <c r="AV76" s="35">
        <f>AW76+AX76</f>
        <v>0</v>
      </c>
      <c r="AW76" s="35">
        <f>F76*AO76</f>
        <v>0</v>
      </c>
      <c r="AX76" s="35">
        <f>F76*AP76</f>
        <v>0</v>
      </c>
      <c r="AY76" s="36" t="s">
        <v>346</v>
      </c>
      <c r="AZ76" s="36" t="s">
        <v>357</v>
      </c>
      <c r="BA76" s="28" t="s">
        <v>365</v>
      </c>
      <c r="BC76" s="35">
        <f>AW76+AX76</f>
        <v>0</v>
      </c>
      <c r="BD76" s="35">
        <f>G76/(100-BE76)*100</f>
        <v>0</v>
      </c>
      <c r="BE76" s="35">
        <v>0</v>
      </c>
      <c r="BF76" s="35">
        <f>L76</f>
        <v>3.3488399999999996</v>
      </c>
      <c r="BH76" s="22">
        <f>F76*AO76</f>
        <v>0</v>
      </c>
      <c r="BI76" s="22">
        <f>F76*AP76</f>
        <v>0</v>
      </c>
      <c r="BJ76" s="22">
        <f>F76*G76</f>
        <v>0</v>
      </c>
    </row>
    <row r="77" spans="4:6" ht="12.75">
      <c r="D77" s="16" t="s">
        <v>197</v>
      </c>
      <c r="F77" s="21">
        <v>15.6</v>
      </c>
    </row>
    <row r="78" spans="4:6" ht="12.75">
      <c r="D78" s="16" t="s">
        <v>198</v>
      </c>
      <c r="F78" s="21">
        <v>10.2</v>
      </c>
    </row>
    <row r="79" spans="4:6" ht="12.75">
      <c r="D79" s="16" t="s">
        <v>201</v>
      </c>
      <c r="F79" s="21">
        <v>2.58</v>
      </c>
    </row>
    <row r="80" spans="1:47" ht="12.75">
      <c r="A80" s="3"/>
      <c r="B80" s="11" t="s">
        <v>67</v>
      </c>
      <c r="C80" s="11" t="s">
        <v>91</v>
      </c>
      <c r="D80" s="11" t="s">
        <v>202</v>
      </c>
      <c r="E80" s="3" t="s">
        <v>5</v>
      </c>
      <c r="F80" s="3" t="s">
        <v>5</v>
      </c>
      <c r="G80" s="3" t="s">
        <v>5</v>
      </c>
      <c r="H80" s="37">
        <f>SUM(H81:H87)</f>
        <v>0</v>
      </c>
      <c r="I80" s="37">
        <f>SUM(I81:I87)</f>
        <v>0</v>
      </c>
      <c r="J80" s="37">
        <f>SUM(J81:J87)</f>
        <v>0</v>
      </c>
      <c r="K80" s="28"/>
      <c r="L80" s="37">
        <f>SUM(L81:L87)</f>
        <v>9.525749999999999</v>
      </c>
      <c r="M80" s="28"/>
      <c r="AI80" s="28" t="s">
        <v>67</v>
      </c>
      <c r="AS80" s="37">
        <f>SUM(AJ81:AJ87)</f>
        <v>0</v>
      </c>
      <c r="AT80" s="37">
        <f>SUM(AK81:AK87)</f>
        <v>0</v>
      </c>
      <c r="AU80" s="37">
        <f>SUM(AL81:AL87)</f>
        <v>0</v>
      </c>
    </row>
    <row r="81" spans="1:62" ht="12.75">
      <c r="A81" s="4" t="s">
        <v>24</v>
      </c>
      <c r="B81" s="4" t="s">
        <v>67</v>
      </c>
      <c r="C81" s="4" t="s">
        <v>92</v>
      </c>
      <c r="D81" s="4" t="s">
        <v>203</v>
      </c>
      <c r="E81" s="4" t="s">
        <v>304</v>
      </c>
      <c r="F81" s="20">
        <v>66.3</v>
      </c>
      <c r="G81" s="130">
        <v>0</v>
      </c>
      <c r="H81" s="20">
        <f>F81*AO81</f>
        <v>0</v>
      </c>
      <c r="I81" s="20">
        <f>F81*AP81</f>
        <v>0</v>
      </c>
      <c r="J81" s="20">
        <f>F81*G81</f>
        <v>0</v>
      </c>
      <c r="K81" s="20">
        <v>0.1025</v>
      </c>
      <c r="L81" s="20">
        <f>F81*K81</f>
        <v>6.795749999999999</v>
      </c>
      <c r="M81" s="31" t="s">
        <v>329</v>
      </c>
      <c r="Z81" s="35">
        <f>IF(AQ81="5",BJ81,0)</f>
        <v>0</v>
      </c>
      <c r="AB81" s="35">
        <f>IF(AQ81="1",BH81,0)</f>
        <v>0</v>
      </c>
      <c r="AC81" s="35">
        <f>IF(AQ81="1",BI81,0)</f>
        <v>0</v>
      </c>
      <c r="AD81" s="35">
        <f>IF(AQ81="7",BH81,0)</f>
        <v>0</v>
      </c>
      <c r="AE81" s="35">
        <f>IF(AQ81="7",BI81,0)</f>
        <v>0</v>
      </c>
      <c r="AF81" s="35">
        <f>IF(AQ81="2",BH81,0)</f>
        <v>0</v>
      </c>
      <c r="AG81" s="35">
        <f>IF(AQ81="2",BI81,0)</f>
        <v>0</v>
      </c>
      <c r="AH81" s="35">
        <f>IF(AQ81="0",BJ81,0)</f>
        <v>0</v>
      </c>
      <c r="AI81" s="28" t="s">
        <v>67</v>
      </c>
      <c r="AJ81" s="20">
        <f>IF(AN81=0,J81,0)</f>
        <v>0</v>
      </c>
      <c r="AK81" s="20">
        <f>IF(AN81=15,J81,0)</f>
        <v>0</v>
      </c>
      <c r="AL81" s="20">
        <f>IF(AN81=21,J81,0)</f>
        <v>0</v>
      </c>
      <c r="AN81" s="35">
        <v>21</v>
      </c>
      <c r="AO81" s="35">
        <f>G81*0.697739372920279</f>
        <v>0</v>
      </c>
      <c r="AP81" s="35">
        <f>G81*(1-0.697739372920279)</f>
        <v>0</v>
      </c>
      <c r="AQ81" s="31" t="s">
        <v>6</v>
      </c>
      <c r="AV81" s="35">
        <f>AW81+AX81</f>
        <v>0</v>
      </c>
      <c r="AW81" s="35">
        <f>F81*AO81</f>
        <v>0</v>
      </c>
      <c r="AX81" s="35">
        <f>F81*AP81</f>
        <v>0</v>
      </c>
      <c r="AY81" s="36" t="s">
        <v>347</v>
      </c>
      <c r="AZ81" s="36" t="s">
        <v>358</v>
      </c>
      <c r="BA81" s="28" t="s">
        <v>365</v>
      </c>
      <c r="BC81" s="35">
        <f>AW81+AX81</f>
        <v>0</v>
      </c>
      <c r="BD81" s="35">
        <f>G81/(100-BE81)*100</f>
        <v>0</v>
      </c>
      <c r="BE81" s="35">
        <v>0</v>
      </c>
      <c r="BF81" s="35">
        <f>L81</f>
        <v>6.795749999999999</v>
      </c>
      <c r="BH81" s="20">
        <f>F81*AO81</f>
        <v>0</v>
      </c>
      <c r="BI81" s="20">
        <f>F81*AP81</f>
        <v>0</v>
      </c>
      <c r="BJ81" s="20">
        <f>F81*G81</f>
        <v>0</v>
      </c>
    </row>
    <row r="82" spans="4:6" ht="12.75">
      <c r="D82" s="16" t="s">
        <v>204</v>
      </c>
      <c r="F82" s="21">
        <v>26</v>
      </c>
    </row>
    <row r="83" spans="4:6" ht="12.75">
      <c r="D83" s="16" t="s">
        <v>205</v>
      </c>
      <c r="F83" s="21">
        <v>34</v>
      </c>
    </row>
    <row r="84" spans="4:6" ht="12.75">
      <c r="D84" s="16" t="s">
        <v>206</v>
      </c>
      <c r="F84" s="21">
        <v>4.8</v>
      </c>
    </row>
    <row r="85" spans="4:6" ht="12.75">
      <c r="D85" s="16" t="s">
        <v>207</v>
      </c>
      <c r="F85" s="21">
        <v>1.5</v>
      </c>
    </row>
    <row r="86" spans="3:13" ht="12.75">
      <c r="C86" s="12" t="s">
        <v>73</v>
      </c>
      <c r="D86" s="98" t="s">
        <v>208</v>
      </c>
      <c r="E86" s="99"/>
      <c r="F86" s="99"/>
      <c r="G86" s="99"/>
      <c r="H86" s="99"/>
      <c r="I86" s="99"/>
      <c r="J86" s="99"/>
      <c r="K86" s="99"/>
      <c r="L86" s="99"/>
      <c r="M86" s="99"/>
    </row>
    <row r="87" spans="1:62" ht="12.75">
      <c r="A87" s="5" t="s">
        <v>25</v>
      </c>
      <c r="B87" s="5" t="s">
        <v>67</v>
      </c>
      <c r="C87" s="5" t="s">
        <v>93</v>
      </c>
      <c r="D87" s="5" t="s">
        <v>209</v>
      </c>
      <c r="E87" s="5" t="s">
        <v>308</v>
      </c>
      <c r="F87" s="22">
        <v>70</v>
      </c>
      <c r="G87" s="130">
        <v>0</v>
      </c>
      <c r="H87" s="22">
        <f>F87*AO87</f>
        <v>0</v>
      </c>
      <c r="I87" s="22">
        <f>F87*AP87</f>
        <v>0</v>
      </c>
      <c r="J87" s="22">
        <f>F87*G87</f>
        <v>0</v>
      </c>
      <c r="K87" s="22">
        <v>0.039</v>
      </c>
      <c r="L87" s="22">
        <f>F87*K87</f>
        <v>2.73</v>
      </c>
      <c r="M87" s="32" t="s">
        <v>329</v>
      </c>
      <c r="Z87" s="35">
        <f>IF(AQ87="5",BJ87,0)</f>
        <v>0</v>
      </c>
      <c r="AB87" s="35">
        <f>IF(AQ87="1",BH87,0)</f>
        <v>0</v>
      </c>
      <c r="AC87" s="35">
        <f>IF(AQ87="1",BI87,0)</f>
        <v>0</v>
      </c>
      <c r="AD87" s="35">
        <f>IF(AQ87="7",BH87,0)</f>
        <v>0</v>
      </c>
      <c r="AE87" s="35">
        <f>IF(AQ87="7",BI87,0)</f>
        <v>0</v>
      </c>
      <c r="AF87" s="35">
        <f>IF(AQ87="2",BH87,0)</f>
        <v>0</v>
      </c>
      <c r="AG87" s="35">
        <f>IF(AQ87="2",BI87,0)</f>
        <v>0</v>
      </c>
      <c r="AH87" s="35">
        <f>IF(AQ87="0",BJ87,0)</f>
        <v>0</v>
      </c>
      <c r="AI87" s="28" t="s">
        <v>67</v>
      </c>
      <c r="AJ87" s="22">
        <f>IF(AN87=0,J87,0)</f>
        <v>0</v>
      </c>
      <c r="AK87" s="22">
        <f>IF(AN87=15,J87,0)</f>
        <v>0</v>
      </c>
      <c r="AL87" s="22">
        <f>IF(AN87=21,J87,0)</f>
        <v>0</v>
      </c>
      <c r="AN87" s="35">
        <v>21</v>
      </c>
      <c r="AO87" s="35">
        <f>G87*1</f>
        <v>0</v>
      </c>
      <c r="AP87" s="35">
        <f>G87*(1-1)</f>
        <v>0</v>
      </c>
      <c r="AQ87" s="32" t="s">
        <v>6</v>
      </c>
      <c r="AV87" s="35">
        <f>AW87+AX87</f>
        <v>0</v>
      </c>
      <c r="AW87" s="35">
        <f>F87*AO87</f>
        <v>0</v>
      </c>
      <c r="AX87" s="35">
        <f>F87*AP87</f>
        <v>0</v>
      </c>
      <c r="AY87" s="36" t="s">
        <v>347</v>
      </c>
      <c r="AZ87" s="36" t="s">
        <v>358</v>
      </c>
      <c r="BA87" s="28" t="s">
        <v>365</v>
      </c>
      <c r="BC87" s="35">
        <f>AW87+AX87</f>
        <v>0</v>
      </c>
      <c r="BD87" s="35">
        <f>G87/(100-BE87)*100</f>
        <v>0</v>
      </c>
      <c r="BE87" s="35">
        <v>0</v>
      </c>
      <c r="BF87" s="35">
        <f>L87</f>
        <v>2.73</v>
      </c>
      <c r="BH87" s="22">
        <f>F87*AO87</f>
        <v>0</v>
      </c>
      <c r="BI87" s="22">
        <f>F87*AP87</f>
        <v>0</v>
      </c>
      <c r="BJ87" s="22">
        <f>F87*G87</f>
        <v>0</v>
      </c>
    </row>
    <row r="88" spans="3:13" ht="12.75">
      <c r="C88" s="12" t="s">
        <v>73</v>
      </c>
      <c r="D88" s="98" t="s">
        <v>210</v>
      </c>
      <c r="E88" s="99"/>
      <c r="F88" s="99"/>
      <c r="G88" s="99"/>
      <c r="H88" s="99"/>
      <c r="I88" s="99"/>
      <c r="J88" s="99"/>
      <c r="K88" s="99"/>
      <c r="L88" s="99"/>
      <c r="M88" s="99"/>
    </row>
    <row r="89" spans="1:47" ht="12.75">
      <c r="A89" s="3"/>
      <c r="B89" s="11" t="s">
        <v>67</v>
      </c>
      <c r="C89" s="11" t="s">
        <v>94</v>
      </c>
      <c r="D89" s="11" t="s">
        <v>211</v>
      </c>
      <c r="E89" s="3" t="s">
        <v>5</v>
      </c>
      <c r="F89" s="3" t="s">
        <v>5</v>
      </c>
      <c r="G89" s="3" t="s">
        <v>5</v>
      </c>
      <c r="H89" s="37">
        <f>SUM(H90:H94)</f>
        <v>0</v>
      </c>
      <c r="I89" s="37">
        <f>SUM(I90:I94)</f>
        <v>0</v>
      </c>
      <c r="J89" s="37">
        <f>SUM(J90:J94)</f>
        <v>0</v>
      </c>
      <c r="K89" s="28"/>
      <c r="L89" s="37">
        <f>SUM(L90:L94)</f>
        <v>2.311</v>
      </c>
      <c r="M89" s="28"/>
      <c r="AI89" s="28" t="s">
        <v>67</v>
      </c>
      <c r="AS89" s="37">
        <f>SUM(AJ90:AJ94)</f>
        <v>0</v>
      </c>
      <c r="AT89" s="37">
        <f>SUM(AK90:AK94)</f>
        <v>0</v>
      </c>
      <c r="AU89" s="37">
        <f>SUM(AL90:AL94)</f>
        <v>0</v>
      </c>
    </row>
    <row r="90" spans="1:62" ht="12.75">
      <c r="A90" s="4" t="s">
        <v>26</v>
      </c>
      <c r="B90" s="4" t="s">
        <v>67</v>
      </c>
      <c r="C90" s="4" t="s">
        <v>95</v>
      </c>
      <c r="D90" s="4" t="s">
        <v>212</v>
      </c>
      <c r="E90" s="4" t="s">
        <v>308</v>
      </c>
      <c r="F90" s="20">
        <v>5</v>
      </c>
      <c r="G90" s="130">
        <v>0</v>
      </c>
      <c r="H90" s="20">
        <f>F90*AO90</f>
        <v>0</v>
      </c>
      <c r="I90" s="20">
        <f>F90*AP90</f>
        <v>0</v>
      </c>
      <c r="J90" s="20">
        <f>F90*G90</f>
        <v>0</v>
      </c>
      <c r="K90" s="20">
        <v>0.4</v>
      </c>
      <c r="L90" s="20">
        <f>F90*K90</f>
        <v>2</v>
      </c>
      <c r="M90" s="31" t="s">
        <v>329</v>
      </c>
      <c r="Z90" s="35">
        <f>IF(AQ90="5",BJ90,0)</f>
        <v>0</v>
      </c>
      <c r="AB90" s="35">
        <f>IF(AQ90="1",BH90,0)</f>
        <v>0</v>
      </c>
      <c r="AC90" s="35">
        <f>IF(AQ90="1",BI90,0)</f>
        <v>0</v>
      </c>
      <c r="AD90" s="35">
        <f>IF(AQ90="7",BH90,0)</f>
        <v>0</v>
      </c>
      <c r="AE90" s="35">
        <f>IF(AQ90="7",BI90,0)</f>
        <v>0</v>
      </c>
      <c r="AF90" s="35">
        <f>IF(AQ90="2",BH90,0)</f>
        <v>0</v>
      </c>
      <c r="AG90" s="35">
        <f>IF(AQ90="2",BI90,0)</f>
        <v>0</v>
      </c>
      <c r="AH90" s="35">
        <f>IF(AQ90="0",BJ90,0)</f>
        <v>0</v>
      </c>
      <c r="AI90" s="28" t="s">
        <v>67</v>
      </c>
      <c r="AJ90" s="20">
        <f>IF(AN90=0,J90,0)</f>
        <v>0</v>
      </c>
      <c r="AK90" s="20">
        <f>IF(AN90=15,J90,0)</f>
        <v>0</v>
      </c>
      <c r="AL90" s="20">
        <f>IF(AN90=21,J90,0)</f>
        <v>0</v>
      </c>
      <c r="AN90" s="35">
        <v>21</v>
      </c>
      <c r="AO90" s="35">
        <f>G90*0.313331812305118</f>
        <v>0</v>
      </c>
      <c r="AP90" s="35">
        <f>G90*(1-0.313331812305118)</f>
        <v>0</v>
      </c>
      <c r="AQ90" s="31" t="s">
        <v>6</v>
      </c>
      <c r="AV90" s="35">
        <f>AW90+AX90</f>
        <v>0</v>
      </c>
      <c r="AW90" s="35">
        <f>F90*AO90</f>
        <v>0</v>
      </c>
      <c r="AX90" s="35">
        <f>F90*AP90</f>
        <v>0</v>
      </c>
      <c r="AY90" s="36" t="s">
        <v>348</v>
      </c>
      <c r="AZ90" s="36" t="s">
        <v>358</v>
      </c>
      <c r="BA90" s="28" t="s">
        <v>365</v>
      </c>
      <c r="BC90" s="35">
        <f>AW90+AX90</f>
        <v>0</v>
      </c>
      <c r="BD90" s="35">
        <f>G90/(100-BE90)*100</f>
        <v>0</v>
      </c>
      <c r="BE90" s="35">
        <v>0</v>
      </c>
      <c r="BF90" s="35">
        <f>L90</f>
        <v>2</v>
      </c>
      <c r="BH90" s="20">
        <f>F90*AO90</f>
        <v>0</v>
      </c>
      <c r="BI90" s="20">
        <f>F90*AP90</f>
        <v>0</v>
      </c>
      <c r="BJ90" s="20">
        <f>F90*G90</f>
        <v>0</v>
      </c>
    </row>
    <row r="91" spans="4:6" ht="12.75">
      <c r="D91" s="16" t="s">
        <v>213</v>
      </c>
      <c r="F91" s="21">
        <v>4</v>
      </c>
    </row>
    <row r="92" spans="4:6" ht="12.75">
      <c r="D92" s="16" t="s">
        <v>214</v>
      </c>
      <c r="F92" s="21">
        <v>1</v>
      </c>
    </row>
    <row r="93" spans="1:62" ht="12.75">
      <c r="A93" s="5" t="s">
        <v>27</v>
      </c>
      <c r="B93" s="5" t="s">
        <v>67</v>
      </c>
      <c r="C93" s="5" t="s">
        <v>96</v>
      </c>
      <c r="D93" s="5" t="s">
        <v>215</v>
      </c>
      <c r="E93" s="5" t="s">
        <v>308</v>
      </c>
      <c r="F93" s="22">
        <v>4</v>
      </c>
      <c r="G93" s="130">
        <v>0</v>
      </c>
      <c r="H93" s="22">
        <f>F93*AO93</f>
        <v>0</v>
      </c>
      <c r="I93" s="22">
        <f>F93*AP93</f>
        <v>0</v>
      </c>
      <c r="J93" s="22">
        <f>F93*G93</f>
        <v>0</v>
      </c>
      <c r="K93" s="22">
        <v>0.063</v>
      </c>
      <c r="L93" s="22">
        <f>F93*K93</f>
        <v>0.252</v>
      </c>
      <c r="M93" s="32" t="s">
        <v>329</v>
      </c>
      <c r="Z93" s="35">
        <f>IF(AQ93="5",BJ93,0)</f>
        <v>0</v>
      </c>
      <c r="AB93" s="35">
        <f>IF(AQ93="1",BH93,0)</f>
        <v>0</v>
      </c>
      <c r="AC93" s="35">
        <f>IF(AQ93="1",BI93,0)</f>
        <v>0</v>
      </c>
      <c r="AD93" s="35">
        <f>IF(AQ93="7",BH93,0)</f>
        <v>0</v>
      </c>
      <c r="AE93" s="35">
        <f>IF(AQ93="7",BI93,0)</f>
        <v>0</v>
      </c>
      <c r="AF93" s="35">
        <f>IF(AQ93="2",BH93,0)</f>
        <v>0</v>
      </c>
      <c r="AG93" s="35">
        <f>IF(AQ93="2",BI93,0)</f>
        <v>0</v>
      </c>
      <c r="AH93" s="35">
        <f>IF(AQ93="0",BJ93,0)</f>
        <v>0</v>
      </c>
      <c r="AI93" s="28" t="s">
        <v>67</v>
      </c>
      <c r="AJ93" s="22">
        <f>IF(AN93=0,J93,0)</f>
        <v>0</v>
      </c>
      <c r="AK93" s="22">
        <f>IF(AN93=15,J93,0)</f>
        <v>0</v>
      </c>
      <c r="AL93" s="22">
        <f>IF(AN93=21,J93,0)</f>
        <v>0</v>
      </c>
      <c r="AN93" s="35">
        <v>21</v>
      </c>
      <c r="AO93" s="35">
        <f>G93*1</f>
        <v>0</v>
      </c>
      <c r="AP93" s="35">
        <f>G93*(1-1)</f>
        <v>0</v>
      </c>
      <c r="AQ93" s="32" t="s">
        <v>6</v>
      </c>
      <c r="AV93" s="35">
        <f>AW93+AX93</f>
        <v>0</v>
      </c>
      <c r="AW93" s="35">
        <f>F93*AO93</f>
        <v>0</v>
      </c>
      <c r="AX93" s="35">
        <f>F93*AP93</f>
        <v>0</v>
      </c>
      <c r="AY93" s="36" t="s">
        <v>348</v>
      </c>
      <c r="AZ93" s="36" t="s">
        <v>358</v>
      </c>
      <c r="BA93" s="28" t="s">
        <v>365</v>
      </c>
      <c r="BC93" s="35">
        <f>AW93+AX93</f>
        <v>0</v>
      </c>
      <c r="BD93" s="35">
        <f>G93/(100-BE93)*100</f>
        <v>0</v>
      </c>
      <c r="BE93" s="35">
        <v>0</v>
      </c>
      <c r="BF93" s="35">
        <f>L93</f>
        <v>0.252</v>
      </c>
      <c r="BH93" s="22">
        <f>F93*AO93</f>
        <v>0</v>
      </c>
      <c r="BI93" s="22">
        <f>F93*AP93</f>
        <v>0</v>
      </c>
      <c r="BJ93" s="22">
        <f>F93*G93</f>
        <v>0</v>
      </c>
    </row>
    <row r="94" spans="1:62" ht="12.75">
      <c r="A94" s="5" t="s">
        <v>28</v>
      </c>
      <c r="B94" s="5" t="s">
        <v>67</v>
      </c>
      <c r="C94" s="5" t="s">
        <v>97</v>
      </c>
      <c r="D94" s="5" t="s">
        <v>216</v>
      </c>
      <c r="E94" s="5" t="s">
        <v>308</v>
      </c>
      <c r="F94" s="22">
        <v>1</v>
      </c>
      <c r="G94" s="130">
        <v>0</v>
      </c>
      <c r="H94" s="22">
        <f>F94*AO94</f>
        <v>0</v>
      </c>
      <c r="I94" s="22">
        <f>F94*AP94</f>
        <v>0</v>
      </c>
      <c r="J94" s="22">
        <f>F94*G94</f>
        <v>0</v>
      </c>
      <c r="K94" s="22">
        <v>0.059</v>
      </c>
      <c r="L94" s="22">
        <f>F94*K94</f>
        <v>0.059</v>
      </c>
      <c r="M94" s="32" t="s">
        <v>329</v>
      </c>
      <c r="Z94" s="35">
        <f>IF(AQ94="5",BJ94,0)</f>
        <v>0</v>
      </c>
      <c r="AB94" s="35">
        <f>IF(AQ94="1",BH94,0)</f>
        <v>0</v>
      </c>
      <c r="AC94" s="35">
        <f>IF(AQ94="1",BI94,0)</f>
        <v>0</v>
      </c>
      <c r="AD94" s="35">
        <f>IF(AQ94="7",BH94,0)</f>
        <v>0</v>
      </c>
      <c r="AE94" s="35">
        <f>IF(AQ94="7",BI94,0)</f>
        <v>0</v>
      </c>
      <c r="AF94" s="35">
        <f>IF(AQ94="2",BH94,0)</f>
        <v>0</v>
      </c>
      <c r="AG94" s="35">
        <f>IF(AQ94="2",BI94,0)</f>
        <v>0</v>
      </c>
      <c r="AH94" s="35">
        <f>IF(AQ94="0",BJ94,0)</f>
        <v>0</v>
      </c>
      <c r="AI94" s="28" t="s">
        <v>67</v>
      </c>
      <c r="AJ94" s="22">
        <f>IF(AN94=0,J94,0)</f>
        <v>0</v>
      </c>
      <c r="AK94" s="22">
        <f>IF(AN94=15,J94,0)</f>
        <v>0</v>
      </c>
      <c r="AL94" s="22">
        <f>IF(AN94=21,J94,0)</f>
        <v>0</v>
      </c>
      <c r="AN94" s="35">
        <v>21</v>
      </c>
      <c r="AO94" s="35">
        <f>G94*1</f>
        <v>0</v>
      </c>
      <c r="AP94" s="35">
        <f>G94*(1-1)</f>
        <v>0</v>
      </c>
      <c r="AQ94" s="32" t="s">
        <v>6</v>
      </c>
      <c r="AV94" s="35">
        <f>AW94+AX94</f>
        <v>0</v>
      </c>
      <c r="AW94" s="35">
        <f>F94*AO94</f>
        <v>0</v>
      </c>
      <c r="AX94" s="35">
        <f>F94*AP94</f>
        <v>0</v>
      </c>
      <c r="AY94" s="36" t="s">
        <v>348</v>
      </c>
      <c r="AZ94" s="36" t="s">
        <v>358</v>
      </c>
      <c r="BA94" s="28" t="s">
        <v>365</v>
      </c>
      <c r="BC94" s="35">
        <f>AW94+AX94</f>
        <v>0</v>
      </c>
      <c r="BD94" s="35">
        <f>G94/(100-BE94)*100</f>
        <v>0</v>
      </c>
      <c r="BE94" s="35">
        <v>0</v>
      </c>
      <c r="BF94" s="35">
        <f>L94</f>
        <v>0.059</v>
      </c>
      <c r="BH94" s="22">
        <f>F94*AO94</f>
        <v>0</v>
      </c>
      <c r="BI94" s="22">
        <f>F94*AP94</f>
        <v>0</v>
      </c>
      <c r="BJ94" s="22">
        <f>F94*G94</f>
        <v>0</v>
      </c>
    </row>
    <row r="95" spans="1:13" s="66" customFormat="1" ht="12.75">
      <c r="A95" s="67"/>
      <c r="B95" s="68" t="s">
        <v>68</v>
      </c>
      <c r="C95" s="68"/>
      <c r="D95" s="68" t="s">
        <v>217</v>
      </c>
      <c r="E95" s="67" t="s">
        <v>5</v>
      </c>
      <c r="F95" s="67" t="s">
        <v>5</v>
      </c>
      <c r="G95" s="67" t="s">
        <v>5</v>
      </c>
      <c r="H95" s="69">
        <f>H96+H98+H103+H125</f>
        <v>0</v>
      </c>
      <c r="I95" s="69">
        <f>I96+I98+I103+I125</f>
        <v>0</v>
      </c>
      <c r="J95" s="69">
        <f>J96+J98+J103+J125</f>
        <v>0</v>
      </c>
      <c r="K95" s="70"/>
      <c r="L95" s="69">
        <f>L96+L98+L103+L125</f>
        <v>3.4705000000000004</v>
      </c>
      <c r="M95" s="70"/>
    </row>
    <row r="96" spans="1:47" ht="12.75">
      <c r="A96" s="3"/>
      <c r="B96" s="11" t="s">
        <v>68</v>
      </c>
      <c r="C96" s="11" t="s">
        <v>18</v>
      </c>
      <c r="D96" s="11" t="s">
        <v>218</v>
      </c>
      <c r="E96" s="3" t="s">
        <v>5</v>
      </c>
      <c r="F96" s="3" t="s">
        <v>5</v>
      </c>
      <c r="G96" s="3" t="s">
        <v>5</v>
      </c>
      <c r="H96" s="37">
        <f>SUM(H97:H97)</f>
        <v>0</v>
      </c>
      <c r="I96" s="37">
        <f>SUM(I97:I97)</f>
        <v>0</v>
      </c>
      <c r="J96" s="37">
        <f>SUM(J97:J97)</f>
        <v>0</v>
      </c>
      <c r="K96" s="28"/>
      <c r="L96" s="37">
        <f>SUM(L97:L97)</f>
        <v>0</v>
      </c>
      <c r="M96" s="28"/>
      <c r="AI96" s="28" t="s">
        <v>68</v>
      </c>
      <c r="AS96" s="37">
        <f>SUM(AJ97:AJ97)</f>
        <v>0</v>
      </c>
      <c r="AT96" s="37">
        <f>SUM(AK97:AK97)</f>
        <v>0</v>
      </c>
      <c r="AU96" s="37">
        <f>SUM(AL97:AL97)</f>
        <v>0</v>
      </c>
    </row>
    <row r="97" spans="1:62" ht="12.75">
      <c r="A97" s="4" t="s">
        <v>29</v>
      </c>
      <c r="B97" s="4" t="s">
        <v>68</v>
      </c>
      <c r="C97" s="4" t="s">
        <v>98</v>
      </c>
      <c r="D97" s="4" t="s">
        <v>219</v>
      </c>
      <c r="E97" s="4" t="s">
        <v>308</v>
      </c>
      <c r="F97" s="20">
        <v>12</v>
      </c>
      <c r="G97" s="130">
        <v>0</v>
      </c>
      <c r="H97" s="20">
        <f>F97*AO97</f>
        <v>0</v>
      </c>
      <c r="I97" s="20">
        <f>F97*AP97</f>
        <v>0</v>
      </c>
      <c r="J97" s="20">
        <f>F97*G97</f>
        <v>0</v>
      </c>
      <c r="K97" s="20">
        <v>0</v>
      </c>
      <c r="L97" s="20">
        <f>F97*K97</f>
        <v>0</v>
      </c>
      <c r="M97" s="31" t="s">
        <v>329</v>
      </c>
      <c r="Z97" s="35">
        <f>IF(AQ97="5",BJ97,0)</f>
        <v>0</v>
      </c>
      <c r="AB97" s="35">
        <f>IF(AQ97="1",BH97,0)</f>
        <v>0</v>
      </c>
      <c r="AC97" s="35">
        <f>IF(AQ97="1",BI97,0)</f>
        <v>0</v>
      </c>
      <c r="AD97" s="35">
        <f>IF(AQ97="7",BH97,0)</f>
        <v>0</v>
      </c>
      <c r="AE97" s="35">
        <f>IF(AQ97="7",BI97,0)</f>
        <v>0</v>
      </c>
      <c r="AF97" s="35">
        <f>IF(AQ97="2",BH97,0)</f>
        <v>0</v>
      </c>
      <c r="AG97" s="35">
        <f>IF(AQ97="2",BI97,0)</f>
        <v>0</v>
      </c>
      <c r="AH97" s="35">
        <f>IF(AQ97="0",BJ97,0)</f>
        <v>0</v>
      </c>
      <c r="AI97" s="28" t="s">
        <v>68</v>
      </c>
      <c r="AJ97" s="20">
        <f>IF(AN97=0,J97,0)</f>
        <v>0</v>
      </c>
      <c r="AK97" s="20">
        <f>IF(AN97=15,J97,0)</f>
        <v>0</v>
      </c>
      <c r="AL97" s="20">
        <f>IF(AN97=21,J97,0)</f>
        <v>0</v>
      </c>
      <c r="AN97" s="35">
        <v>21</v>
      </c>
      <c r="AO97" s="35">
        <f>G97*0</f>
        <v>0</v>
      </c>
      <c r="AP97" s="35">
        <f>G97*(1-0)</f>
        <v>0</v>
      </c>
      <c r="AQ97" s="31" t="s">
        <v>6</v>
      </c>
      <c r="AV97" s="35">
        <f>AW97+AX97</f>
        <v>0</v>
      </c>
      <c r="AW97" s="35">
        <f>F97*AO97</f>
        <v>0</v>
      </c>
      <c r="AX97" s="35">
        <f>F97*AP97</f>
        <v>0</v>
      </c>
      <c r="AY97" s="36" t="s">
        <v>349</v>
      </c>
      <c r="AZ97" s="36" t="s">
        <v>359</v>
      </c>
      <c r="BA97" s="28" t="s">
        <v>366</v>
      </c>
      <c r="BC97" s="35">
        <f>AW97+AX97</f>
        <v>0</v>
      </c>
      <c r="BD97" s="35">
        <f>G97/(100-BE97)*100</f>
        <v>0</v>
      </c>
      <c r="BE97" s="35">
        <v>0</v>
      </c>
      <c r="BF97" s="35">
        <f>L97</f>
        <v>0</v>
      </c>
      <c r="BH97" s="20">
        <f>F97*AO97</f>
        <v>0</v>
      </c>
      <c r="BI97" s="20">
        <f>F97*AP97</f>
        <v>0</v>
      </c>
      <c r="BJ97" s="20">
        <f>F97*G97</f>
        <v>0</v>
      </c>
    </row>
    <row r="98" spans="1:47" ht="12.75">
      <c r="A98" s="3"/>
      <c r="B98" s="11" t="s">
        <v>68</v>
      </c>
      <c r="C98" s="11" t="s">
        <v>38</v>
      </c>
      <c r="D98" s="11" t="s">
        <v>220</v>
      </c>
      <c r="E98" s="3" t="s">
        <v>5</v>
      </c>
      <c r="F98" s="3" t="s">
        <v>5</v>
      </c>
      <c r="G98" s="3" t="s">
        <v>5</v>
      </c>
      <c r="H98" s="37">
        <f>SUM(H99:H102)</f>
        <v>0</v>
      </c>
      <c r="I98" s="37">
        <f>SUM(I99:I102)</f>
        <v>0</v>
      </c>
      <c r="J98" s="37">
        <f>SUM(J99:J102)</f>
        <v>0</v>
      </c>
      <c r="K98" s="28"/>
      <c r="L98" s="37">
        <f>SUM(L99:L102)</f>
        <v>2.8200000000000003</v>
      </c>
      <c r="M98" s="28"/>
      <c r="AI98" s="28" t="s">
        <v>68</v>
      </c>
      <c r="AS98" s="37">
        <f>SUM(AJ99:AJ102)</f>
        <v>0</v>
      </c>
      <c r="AT98" s="37">
        <f>SUM(AK99:AK102)</f>
        <v>0</v>
      </c>
      <c r="AU98" s="37">
        <f>SUM(AL99:AL102)</f>
        <v>0</v>
      </c>
    </row>
    <row r="99" spans="1:62" ht="12.75">
      <c r="A99" s="4" t="s">
        <v>30</v>
      </c>
      <c r="B99" s="4" t="s">
        <v>68</v>
      </c>
      <c r="C99" s="4" t="s">
        <v>99</v>
      </c>
      <c r="D99" s="4" t="s">
        <v>221</v>
      </c>
      <c r="E99" s="4" t="s">
        <v>308</v>
      </c>
      <c r="F99" s="20">
        <v>12</v>
      </c>
      <c r="G99" s="130">
        <v>0</v>
      </c>
      <c r="H99" s="20">
        <f>F99*AO99</f>
        <v>0</v>
      </c>
      <c r="I99" s="20">
        <f>F99*AP99</f>
        <v>0</v>
      </c>
      <c r="J99" s="20">
        <f>F99*G99</f>
        <v>0</v>
      </c>
      <c r="K99" s="20">
        <v>0.125</v>
      </c>
      <c r="L99" s="20">
        <f>F99*K99</f>
        <v>1.5</v>
      </c>
      <c r="M99" s="31" t="s">
        <v>329</v>
      </c>
      <c r="Z99" s="35">
        <f>IF(AQ99="5",BJ99,0)</f>
        <v>0</v>
      </c>
      <c r="AB99" s="35">
        <f>IF(AQ99="1",BH99,0)</f>
        <v>0</v>
      </c>
      <c r="AC99" s="35">
        <f>IF(AQ99="1",BI99,0)</f>
        <v>0</v>
      </c>
      <c r="AD99" s="35">
        <f>IF(AQ99="7",BH99,0)</f>
        <v>0</v>
      </c>
      <c r="AE99" s="35">
        <f>IF(AQ99="7",BI99,0)</f>
        <v>0</v>
      </c>
      <c r="AF99" s="35">
        <f>IF(AQ99="2",BH99,0)</f>
        <v>0</v>
      </c>
      <c r="AG99" s="35">
        <f>IF(AQ99="2",BI99,0)</f>
        <v>0</v>
      </c>
      <c r="AH99" s="35">
        <f>IF(AQ99="0",BJ99,0)</f>
        <v>0</v>
      </c>
      <c r="AI99" s="28" t="s">
        <v>68</v>
      </c>
      <c r="AJ99" s="20">
        <f>IF(AN99=0,J99,0)</f>
        <v>0</v>
      </c>
      <c r="AK99" s="20">
        <f>IF(AN99=15,J99,0)</f>
        <v>0</v>
      </c>
      <c r="AL99" s="20">
        <f>IF(AN99=21,J99,0)</f>
        <v>0</v>
      </c>
      <c r="AN99" s="35">
        <v>21</v>
      </c>
      <c r="AO99" s="35">
        <f>G99*0.498405582041486</f>
        <v>0</v>
      </c>
      <c r="AP99" s="35">
        <f>G99*(1-0.498405582041486)</f>
        <v>0</v>
      </c>
      <c r="AQ99" s="31" t="s">
        <v>6</v>
      </c>
      <c r="AV99" s="35">
        <f>AW99+AX99</f>
        <v>0</v>
      </c>
      <c r="AW99" s="35">
        <f>F99*AO99</f>
        <v>0</v>
      </c>
      <c r="AX99" s="35">
        <f>F99*AP99</f>
        <v>0</v>
      </c>
      <c r="AY99" s="36" t="s">
        <v>350</v>
      </c>
      <c r="AZ99" s="36" t="s">
        <v>360</v>
      </c>
      <c r="BA99" s="28" t="s">
        <v>366</v>
      </c>
      <c r="BC99" s="35">
        <f>AW99+AX99</f>
        <v>0</v>
      </c>
      <c r="BD99" s="35">
        <f>G99/(100-BE99)*100</f>
        <v>0</v>
      </c>
      <c r="BE99" s="35">
        <v>0</v>
      </c>
      <c r="BF99" s="35">
        <f>L99</f>
        <v>1.5</v>
      </c>
      <c r="BH99" s="20">
        <f>F99*AO99</f>
        <v>0</v>
      </c>
      <c r="BI99" s="20">
        <f>F99*AP99</f>
        <v>0</v>
      </c>
      <c r="BJ99" s="20">
        <f>F99*G99</f>
        <v>0</v>
      </c>
    </row>
    <row r="100" spans="3:13" ht="12.75">
      <c r="C100" s="12" t="s">
        <v>73</v>
      </c>
      <c r="D100" s="98" t="s">
        <v>222</v>
      </c>
      <c r="E100" s="99"/>
      <c r="F100" s="99"/>
      <c r="G100" s="99"/>
      <c r="H100" s="99"/>
      <c r="I100" s="99"/>
      <c r="J100" s="99"/>
      <c r="K100" s="99"/>
      <c r="L100" s="99"/>
      <c r="M100" s="99"/>
    </row>
    <row r="101" spans="1:62" ht="12.75">
      <c r="A101" s="5" t="s">
        <v>31</v>
      </c>
      <c r="B101" s="5" t="s">
        <v>68</v>
      </c>
      <c r="C101" s="5" t="s">
        <v>100</v>
      </c>
      <c r="D101" s="5" t="s">
        <v>223</v>
      </c>
      <c r="E101" s="5" t="s">
        <v>308</v>
      </c>
      <c r="F101" s="22">
        <v>6</v>
      </c>
      <c r="G101" s="130">
        <v>0</v>
      </c>
      <c r="H101" s="22">
        <f>F101*AO101</f>
        <v>0</v>
      </c>
      <c r="I101" s="22">
        <f>F101*AP101</f>
        <v>0</v>
      </c>
      <c r="J101" s="22">
        <f>F101*G101</f>
        <v>0</v>
      </c>
      <c r="K101" s="22">
        <v>0.11</v>
      </c>
      <c r="L101" s="22">
        <f>F101*K101</f>
        <v>0.66</v>
      </c>
      <c r="M101" s="32" t="s">
        <v>329</v>
      </c>
      <c r="Z101" s="35">
        <f>IF(AQ101="5",BJ101,0)</f>
        <v>0</v>
      </c>
      <c r="AB101" s="35">
        <f>IF(AQ101="1",BH101,0)</f>
        <v>0</v>
      </c>
      <c r="AC101" s="35">
        <f>IF(AQ101="1",BI101,0)</f>
        <v>0</v>
      </c>
      <c r="AD101" s="35">
        <f>IF(AQ101="7",BH101,0)</f>
        <v>0</v>
      </c>
      <c r="AE101" s="35">
        <f>IF(AQ101="7",BI101,0)</f>
        <v>0</v>
      </c>
      <c r="AF101" s="35">
        <f>IF(AQ101="2",BH101,0)</f>
        <v>0</v>
      </c>
      <c r="AG101" s="35">
        <f>IF(AQ101="2",BI101,0)</f>
        <v>0</v>
      </c>
      <c r="AH101" s="35">
        <f>IF(AQ101="0",BJ101,0)</f>
        <v>0</v>
      </c>
      <c r="AI101" s="28" t="s">
        <v>68</v>
      </c>
      <c r="AJ101" s="22">
        <f>IF(AN101=0,J101,0)</f>
        <v>0</v>
      </c>
      <c r="AK101" s="22">
        <f>IF(AN101=15,J101,0)</f>
        <v>0</v>
      </c>
      <c r="AL101" s="22">
        <f>IF(AN101=21,J101,0)</f>
        <v>0</v>
      </c>
      <c r="AN101" s="35">
        <v>21</v>
      </c>
      <c r="AO101" s="35">
        <f>G101*1</f>
        <v>0</v>
      </c>
      <c r="AP101" s="35">
        <f>G101*(1-1)</f>
        <v>0</v>
      </c>
      <c r="AQ101" s="32" t="s">
        <v>6</v>
      </c>
      <c r="AV101" s="35">
        <f>AW101+AX101</f>
        <v>0</v>
      </c>
      <c r="AW101" s="35">
        <f>F101*AO101</f>
        <v>0</v>
      </c>
      <c r="AX101" s="35">
        <f>F101*AP101</f>
        <v>0</v>
      </c>
      <c r="AY101" s="36" t="s">
        <v>350</v>
      </c>
      <c r="AZ101" s="36" t="s">
        <v>360</v>
      </c>
      <c r="BA101" s="28" t="s">
        <v>366</v>
      </c>
      <c r="BC101" s="35">
        <f>AW101+AX101</f>
        <v>0</v>
      </c>
      <c r="BD101" s="35">
        <f>G101/(100-BE101)*100</f>
        <v>0</v>
      </c>
      <c r="BE101" s="35">
        <v>0</v>
      </c>
      <c r="BF101" s="35">
        <f>L101</f>
        <v>0.66</v>
      </c>
      <c r="BH101" s="22">
        <f>F101*AO101</f>
        <v>0</v>
      </c>
      <c r="BI101" s="22">
        <f>F101*AP101</f>
        <v>0</v>
      </c>
      <c r="BJ101" s="22">
        <f>F101*G101</f>
        <v>0</v>
      </c>
    </row>
    <row r="102" spans="1:62" ht="12.75">
      <c r="A102" s="5" t="s">
        <v>32</v>
      </c>
      <c r="B102" s="5" t="s">
        <v>68</v>
      </c>
      <c r="C102" s="5" t="s">
        <v>101</v>
      </c>
      <c r="D102" s="5" t="s">
        <v>224</v>
      </c>
      <c r="E102" s="5" t="s">
        <v>308</v>
      </c>
      <c r="F102" s="22">
        <v>6</v>
      </c>
      <c r="G102" s="130">
        <v>0</v>
      </c>
      <c r="H102" s="22">
        <f>F102*AO102</f>
        <v>0</v>
      </c>
      <c r="I102" s="22">
        <f>F102*AP102</f>
        <v>0</v>
      </c>
      <c r="J102" s="22">
        <f>F102*G102</f>
        <v>0</v>
      </c>
      <c r="K102" s="22">
        <v>0.11</v>
      </c>
      <c r="L102" s="22">
        <f>F102*K102</f>
        <v>0.66</v>
      </c>
      <c r="M102" s="32" t="s">
        <v>329</v>
      </c>
      <c r="Z102" s="35">
        <f>IF(AQ102="5",BJ102,0)</f>
        <v>0</v>
      </c>
      <c r="AB102" s="35">
        <f>IF(AQ102="1",BH102,0)</f>
        <v>0</v>
      </c>
      <c r="AC102" s="35">
        <f>IF(AQ102="1",BI102,0)</f>
        <v>0</v>
      </c>
      <c r="AD102" s="35">
        <f>IF(AQ102="7",BH102,0)</f>
        <v>0</v>
      </c>
      <c r="AE102" s="35">
        <f>IF(AQ102="7",BI102,0)</f>
        <v>0</v>
      </c>
      <c r="AF102" s="35">
        <f>IF(AQ102="2",BH102,0)</f>
        <v>0</v>
      </c>
      <c r="AG102" s="35">
        <f>IF(AQ102="2",BI102,0)</f>
        <v>0</v>
      </c>
      <c r="AH102" s="35">
        <f>IF(AQ102="0",BJ102,0)</f>
        <v>0</v>
      </c>
      <c r="AI102" s="28" t="s">
        <v>68</v>
      </c>
      <c r="AJ102" s="22">
        <f>IF(AN102=0,J102,0)</f>
        <v>0</v>
      </c>
      <c r="AK102" s="22">
        <f>IF(AN102=15,J102,0)</f>
        <v>0</v>
      </c>
      <c r="AL102" s="22">
        <f>IF(AN102=21,J102,0)</f>
        <v>0</v>
      </c>
      <c r="AN102" s="35">
        <v>21</v>
      </c>
      <c r="AO102" s="35">
        <f>G102*1</f>
        <v>0</v>
      </c>
      <c r="AP102" s="35">
        <f>G102*(1-1)</f>
        <v>0</v>
      </c>
      <c r="AQ102" s="32" t="s">
        <v>6</v>
      </c>
      <c r="AV102" s="35">
        <f>AW102+AX102</f>
        <v>0</v>
      </c>
      <c r="AW102" s="35">
        <f>F102*AO102</f>
        <v>0</v>
      </c>
      <c r="AX102" s="35">
        <f>F102*AP102</f>
        <v>0</v>
      </c>
      <c r="AY102" s="36" t="s">
        <v>350</v>
      </c>
      <c r="AZ102" s="36" t="s">
        <v>360</v>
      </c>
      <c r="BA102" s="28" t="s">
        <v>366</v>
      </c>
      <c r="BC102" s="35">
        <f>AW102+AX102</f>
        <v>0</v>
      </c>
      <c r="BD102" s="35">
        <f>G102/(100-BE102)*100</f>
        <v>0</v>
      </c>
      <c r="BE102" s="35">
        <v>0</v>
      </c>
      <c r="BF102" s="35">
        <f>L102</f>
        <v>0.66</v>
      </c>
      <c r="BH102" s="22">
        <f>F102*AO102</f>
        <v>0</v>
      </c>
      <c r="BI102" s="22">
        <f>F102*AP102</f>
        <v>0</v>
      </c>
      <c r="BJ102" s="22">
        <f>F102*G102</f>
        <v>0</v>
      </c>
    </row>
    <row r="103" spans="1:47" ht="12.75">
      <c r="A103" s="3"/>
      <c r="B103" s="11" t="s">
        <v>68</v>
      </c>
      <c r="C103" s="11" t="s">
        <v>102</v>
      </c>
      <c r="D103" s="11" t="s">
        <v>225</v>
      </c>
      <c r="E103" s="3" t="s">
        <v>5</v>
      </c>
      <c r="F103" s="3" t="s">
        <v>5</v>
      </c>
      <c r="G103" s="3" t="s">
        <v>5</v>
      </c>
      <c r="H103" s="37">
        <f>SUM(H104:H124)</f>
        <v>0</v>
      </c>
      <c r="I103" s="37">
        <f>SUM(I104:I124)</f>
        <v>0</v>
      </c>
      <c r="J103" s="37">
        <f>SUM(J104:J124)</f>
        <v>0</v>
      </c>
      <c r="K103" s="28"/>
      <c r="L103" s="37">
        <f>SUM(L104:L124)</f>
        <v>0.6461</v>
      </c>
      <c r="M103" s="28"/>
      <c r="AI103" s="28" t="s">
        <v>68</v>
      </c>
      <c r="AS103" s="37">
        <f>SUM(AJ104:AJ124)</f>
        <v>0</v>
      </c>
      <c r="AT103" s="37">
        <f>SUM(AK104:AK124)</f>
        <v>0</v>
      </c>
      <c r="AU103" s="37">
        <f>SUM(AL104:AL124)</f>
        <v>0</v>
      </c>
    </row>
    <row r="104" spans="1:62" ht="12.75">
      <c r="A104" s="4" t="s">
        <v>33</v>
      </c>
      <c r="B104" s="4" t="s">
        <v>68</v>
      </c>
      <c r="C104" s="4" t="s">
        <v>103</v>
      </c>
      <c r="D104" s="4" t="s">
        <v>226</v>
      </c>
      <c r="E104" s="4" t="s">
        <v>304</v>
      </c>
      <c r="F104" s="20">
        <v>10</v>
      </c>
      <c r="G104" s="130">
        <v>0</v>
      </c>
      <c r="H104" s="20">
        <f>F104*AO104</f>
        <v>0</v>
      </c>
      <c r="I104" s="20">
        <f>F104*AP104</f>
        <v>0</v>
      </c>
      <c r="J104" s="20">
        <f>F104*G104</f>
        <v>0</v>
      </c>
      <c r="K104" s="20">
        <v>0.00082</v>
      </c>
      <c r="L104" s="20">
        <f>F104*K104</f>
        <v>0.008199999999999999</v>
      </c>
      <c r="M104" s="31" t="s">
        <v>329</v>
      </c>
      <c r="Z104" s="35">
        <f>IF(AQ104="5",BJ104,0)</f>
        <v>0</v>
      </c>
      <c r="AB104" s="35">
        <f>IF(AQ104="1",BH104,0)</f>
        <v>0</v>
      </c>
      <c r="AC104" s="35">
        <f>IF(AQ104="1",BI104,0)</f>
        <v>0</v>
      </c>
      <c r="AD104" s="35">
        <f>IF(AQ104="7",BH104,0)</f>
        <v>0</v>
      </c>
      <c r="AE104" s="35">
        <f>IF(AQ104="7",BI104,0)</f>
        <v>0</v>
      </c>
      <c r="AF104" s="35">
        <f>IF(AQ104="2",BH104,0)</f>
        <v>0</v>
      </c>
      <c r="AG104" s="35">
        <f>IF(AQ104="2",BI104,0)</f>
        <v>0</v>
      </c>
      <c r="AH104" s="35">
        <f>IF(AQ104="0",BJ104,0)</f>
        <v>0</v>
      </c>
      <c r="AI104" s="28" t="s">
        <v>68</v>
      </c>
      <c r="AJ104" s="20">
        <f>IF(AN104=0,J104,0)</f>
        <v>0</v>
      </c>
      <c r="AK104" s="20">
        <f>IF(AN104=15,J104,0)</f>
        <v>0</v>
      </c>
      <c r="AL104" s="20">
        <f>IF(AN104=21,J104,0)</f>
        <v>0</v>
      </c>
      <c r="AN104" s="35">
        <v>21</v>
      </c>
      <c r="AO104" s="35">
        <f>G104*0.116667878171113</f>
        <v>0</v>
      </c>
      <c r="AP104" s="35">
        <f>G104*(1-0.116667878171113)</f>
        <v>0</v>
      </c>
      <c r="AQ104" s="31" t="s">
        <v>12</v>
      </c>
      <c r="AV104" s="35">
        <f>AW104+AX104</f>
        <v>0</v>
      </c>
      <c r="AW104" s="35">
        <f>F104*AO104</f>
        <v>0</v>
      </c>
      <c r="AX104" s="35">
        <f>F104*AP104</f>
        <v>0</v>
      </c>
      <c r="AY104" s="36" t="s">
        <v>351</v>
      </c>
      <c r="AZ104" s="36" t="s">
        <v>361</v>
      </c>
      <c r="BA104" s="28" t="s">
        <v>366</v>
      </c>
      <c r="BC104" s="35">
        <f>AW104+AX104</f>
        <v>0</v>
      </c>
      <c r="BD104" s="35">
        <f>G104/(100-BE104)*100</f>
        <v>0</v>
      </c>
      <c r="BE104" s="35">
        <v>0</v>
      </c>
      <c r="BF104" s="35">
        <f>L104</f>
        <v>0.008199999999999999</v>
      </c>
      <c r="BH104" s="20">
        <f>F104*AO104</f>
        <v>0</v>
      </c>
      <c r="BI104" s="20">
        <f>F104*AP104</f>
        <v>0</v>
      </c>
      <c r="BJ104" s="20">
        <f>F104*G104</f>
        <v>0</v>
      </c>
    </row>
    <row r="105" spans="1:62" ht="12.75">
      <c r="A105" s="5" t="s">
        <v>34</v>
      </c>
      <c r="B105" s="5" t="s">
        <v>68</v>
      </c>
      <c r="C105" s="5" t="s">
        <v>104</v>
      </c>
      <c r="D105" s="5" t="s">
        <v>227</v>
      </c>
      <c r="E105" s="5" t="s">
        <v>305</v>
      </c>
      <c r="F105" s="22">
        <v>0.16</v>
      </c>
      <c r="G105" s="130">
        <v>0</v>
      </c>
      <c r="H105" s="22">
        <f>F105*AO105</f>
        <v>0</v>
      </c>
      <c r="I105" s="22">
        <f>F105*AP105</f>
        <v>0</v>
      </c>
      <c r="J105" s="22">
        <f>F105*G105</f>
        <v>0</v>
      </c>
      <c r="K105" s="22">
        <v>1</v>
      </c>
      <c r="L105" s="22">
        <f>F105*K105</f>
        <v>0.16</v>
      </c>
      <c r="M105" s="32" t="s">
        <v>329</v>
      </c>
      <c r="Z105" s="35">
        <f>IF(AQ105="5",BJ105,0)</f>
        <v>0</v>
      </c>
      <c r="AB105" s="35">
        <f>IF(AQ105="1",BH105,0)</f>
        <v>0</v>
      </c>
      <c r="AC105" s="35">
        <f>IF(AQ105="1",BI105,0)</f>
        <v>0</v>
      </c>
      <c r="AD105" s="35">
        <f>IF(AQ105="7",BH105,0)</f>
        <v>0</v>
      </c>
      <c r="AE105" s="35">
        <f>IF(AQ105="7",BI105,0)</f>
        <v>0</v>
      </c>
      <c r="AF105" s="35">
        <f>IF(AQ105="2",BH105,0)</f>
        <v>0</v>
      </c>
      <c r="AG105" s="35">
        <f>IF(AQ105="2",BI105,0)</f>
        <v>0</v>
      </c>
      <c r="AH105" s="35">
        <f>IF(AQ105="0",BJ105,0)</f>
        <v>0</v>
      </c>
      <c r="AI105" s="28" t="s">
        <v>68</v>
      </c>
      <c r="AJ105" s="22">
        <f>IF(AN105=0,J105,0)</f>
        <v>0</v>
      </c>
      <c r="AK105" s="22">
        <f>IF(AN105=15,J105,0)</f>
        <v>0</v>
      </c>
      <c r="AL105" s="22">
        <f>IF(AN105=21,J105,0)</f>
        <v>0</v>
      </c>
      <c r="AN105" s="35">
        <v>21</v>
      </c>
      <c r="AO105" s="35">
        <f>G105*1</f>
        <v>0</v>
      </c>
      <c r="AP105" s="35">
        <f>G105*(1-1)</f>
        <v>0</v>
      </c>
      <c r="AQ105" s="32" t="s">
        <v>12</v>
      </c>
      <c r="AV105" s="35">
        <f>AW105+AX105</f>
        <v>0</v>
      </c>
      <c r="AW105" s="35">
        <f>F105*AO105</f>
        <v>0</v>
      </c>
      <c r="AX105" s="35">
        <f>F105*AP105</f>
        <v>0</v>
      </c>
      <c r="AY105" s="36" t="s">
        <v>351</v>
      </c>
      <c r="AZ105" s="36" t="s">
        <v>361</v>
      </c>
      <c r="BA105" s="28" t="s">
        <v>366</v>
      </c>
      <c r="BC105" s="35">
        <f>AW105+AX105</f>
        <v>0</v>
      </c>
      <c r="BD105" s="35">
        <f>G105/(100-BE105)*100</f>
        <v>0</v>
      </c>
      <c r="BE105" s="35">
        <v>0</v>
      </c>
      <c r="BF105" s="35">
        <f>L105</f>
        <v>0.16</v>
      </c>
      <c r="BH105" s="22">
        <f>F105*AO105</f>
        <v>0</v>
      </c>
      <c r="BI105" s="22">
        <f>F105*AP105</f>
        <v>0</v>
      </c>
      <c r="BJ105" s="22">
        <f>F105*G105</f>
        <v>0</v>
      </c>
    </row>
    <row r="106" spans="4:6" ht="12.75">
      <c r="D106" s="16" t="s">
        <v>228</v>
      </c>
      <c r="F106" s="21">
        <v>0.16</v>
      </c>
    </row>
    <row r="107" spans="3:13" ht="12.75">
      <c r="C107" s="12" t="s">
        <v>73</v>
      </c>
      <c r="D107" s="98" t="s">
        <v>229</v>
      </c>
      <c r="E107" s="99"/>
      <c r="F107" s="99"/>
      <c r="G107" s="99"/>
      <c r="H107" s="99"/>
      <c r="I107" s="99"/>
      <c r="J107" s="99"/>
      <c r="K107" s="99"/>
      <c r="L107" s="99"/>
      <c r="M107" s="99"/>
    </row>
    <row r="108" spans="1:62" ht="12.75">
      <c r="A108" s="4" t="s">
        <v>35</v>
      </c>
      <c r="B108" s="4" t="s">
        <v>68</v>
      </c>
      <c r="C108" s="4" t="s">
        <v>105</v>
      </c>
      <c r="D108" s="4" t="s">
        <v>230</v>
      </c>
      <c r="E108" s="4" t="s">
        <v>304</v>
      </c>
      <c r="F108" s="20">
        <v>15</v>
      </c>
      <c r="G108" s="130">
        <v>0</v>
      </c>
      <c r="H108" s="20">
        <f>F108*AO108</f>
        <v>0</v>
      </c>
      <c r="I108" s="20">
        <f>F108*AP108</f>
        <v>0</v>
      </c>
      <c r="J108" s="20">
        <f>F108*G108</f>
        <v>0</v>
      </c>
      <c r="K108" s="20">
        <v>0.00925</v>
      </c>
      <c r="L108" s="20">
        <f>F108*K108</f>
        <v>0.13874999999999998</v>
      </c>
      <c r="M108" s="31" t="s">
        <v>329</v>
      </c>
      <c r="Z108" s="35">
        <f>IF(AQ108="5",BJ108,0)</f>
        <v>0</v>
      </c>
      <c r="AB108" s="35">
        <f>IF(AQ108="1",BH108,0)</f>
        <v>0</v>
      </c>
      <c r="AC108" s="35">
        <f>IF(AQ108="1",BI108,0)</f>
        <v>0</v>
      </c>
      <c r="AD108" s="35">
        <f>IF(AQ108="7",BH108,0)</f>
        <v>0</v>
      </c>
      <c r="AE108" s="35">
        <f>IF(AQ108="7",BI108,0)</f>
        <v>0</v>
      </c>
      <c r="AF108" s="35">
        <f>IF(AQ108="2",BH108,0)</f>
        <v>0</v>
      </c>
      <c r="AG108" s="35">
        <f>IF(AQ108="2",BI108,0)</f>
        <v>0</v>
      </c>
      <c r="AH108" s="35">
        <f>IF(AQ108="0",BJ108,0)</f>
        <v>0</v>
      </c>
      <c r="AI108" s="28" t="s">
        <v>68</v>
      </c>
      <c r="AJ108" s="20">
        <f>IF(AN108=0,J108,0)</f>
        <v>0</v>
      </c>
      <c r="AK108" s="20">
        <f>IF(AN108=15,J108,0)</f>
        <v>0</v>
      </c>
      <c r="AL108" s="20">
        <f>IF(AN108=21,J108,0)</f>
        <v>0</v>
      </c>
      <c r="AN108" s="35">
        <v>21</v>
      </c>
      <c r="AO108" s="35">
        <f>G108*0</f>
        <v>0</v>
      </c>
      <c r="AP108" s="35">
        <f>G108*(1-0)</f>
        <v>0</v>
      </c>
      <c r="AQ108" s="31" t="s">
        <v>12</v>
      </c>
      <c r="AV108" s="35">
        <f>AW108+AX108</f>
        <v>0</v>
      </c>
      <c r="AW108" s="35">
        <f>F108*AO108</f>
        <v>0</v>
      </c>
      <c r="AX108" s="35">
        <f>F108*AP108</f>
        <v>0</v>
      </c>
      <c r="AY108" s="36" t="s">
        <v>351</v>
      </c>
      <c r="AZ108" s="36" t="s">
        <v>361</v>
      </c>
      <c r="BA108" s="28" t="s">
        <v>366</v>
      </c>
      <c r="BC108" s="35">
        <f>AW108+AX108</f>
        <v>0</v>
      </c>
      <c r="BD108" s="35">
        <f>G108/(100-BE108)*100</f>
        <v>0</v>
      </c>
      <c r="BE108" s="35">
        <v>0</v>
      </c>
      <c r="BF108" s="35">
        <f>L108</f>
        <v>0.13874999999999998</v>
      </c>
      <c r="BH108" s="20">
        <f>F108*AO108</f>
        <v>0</v>
      </c>
      <c r="BI108" s="20">
        <f>F108*AP108</f>
        <v>0</v>
      </c>
      <c r="BJ108" s="20">
        <f>F108*G108</f>
        <v>0</v>
      </c>
    </row>
    <row r="109" ht="25.5">
      <c r="D109" s="15" t="s">
        <v>231</v>
      </c>
    </row>
    <row r="110" spans="1:62" ht="12.75">
      <c r="A110" s="4" t="s">
        <v>36</v>
      </c>
      <c r="B110" s="4" t="s">
        <v>68</v>
      </c>
      <c r="C110" s="4" t="s">
        <v>106</v>
      </c>
      <c r="D110" s="4" t="s">
        <v>232</v>
      </c>
      <c r="E110" s="4" t="s">
        <v>309</v>
      </c>
      <c r="F110" s="20">
        <v>115</v>
      </c>
      <c r="G110" s="130">
        <v>0</v>
      </c>
      <c r="H110" s="20">
        <f>F110*AO110</f>
        <v>0</v>
      </c>
      <c r="I110" s="20">
        <f>F110*AP110</f>
        <v>0</v>
      </c>
      <c r="J110" s="20">
        <f>F110*G110</f>
        <v>0</v>
      </c>
      <c r="K110" s="20">
        <v>0.00105</v>
      </c>
      <c r="L110" s="20">
        <f>F110*K110</f>
        <v>0.12075</v>
      </c>
      <c r="M110" s="31" t="s">
        <v>329</v>
      </c>
      <c r="Z110" s="35">
        <f>IF(AQ110="5",BJ110,0)</f>
        <v>0</v>
      </c>
      <c r="AB110" s="35">
        <f>IF(AQ110="1",BH110,0)</f>
        <v>0</v>
      </c>
      <c r="AC110" s="35">
        <f>IF(AQ110="1",BI110,0)</f>
        <v>0</v>
      </c>
      <c r="AD110" s="35">
        <f>IF(AQ110="7",BH110,0)</f>
        <v>0</v>
      </c>
      <c r="AE110" s="35">
        <f>IF(AQ110="7",BI110,0)</f>
        <v>0</v>
      </c>
      <c r="AF110" s="35">
        <f>IF(AQ110="2",BH110,0)</f>
        <v>0</v>
      </c>
      <c r="AG110" s="35">
        <f>IF(AQ110="2",BI110,0)</f>
        <v>0</v>
      </c>
      <c r="AH110" s="35">
        <f>IF(AQ110="0",BJ110,0)</f>
        <v>0</v>
      </c>
      <c r="AI110" s="28" t="s">
        <v>68</v>
      </c>
      <c r="AJ110" s="20">
        <f>IF(AN110=0,J110,0)</f>
        <v>0</v>
      </c>
      <c r="AK110" s="20">
        <f>IF(AN110=15,J110,0)</f>
        <v>0</v>
      </c>
      <c r="AL110" s="20">
        <f>IF(AN110=21,J110,0)</f>
        <v>0</v>
      </c>
      <c r="AN110" s="35">
        <v>21</v>
      </c>
      <c r="AO110" s="35">
        <f>G110*0.666531363625969</f>
        <v>0</v>
      </c>
      <c r="AP110" s="35">
        <f>G110*(1-0.666531363625969)</f>
        <v>0</v>
      </c>
      <c r="AQ110" s="31" t="s">
        <v>12</v>
      </c>
      <c r="AV110" s="35">
        <f>AW110+AX110</f>
        <v>0</v>
      </c>
      <c r="AW110" s="35">
        <f>F110*AO110</f>
        <v>0</v>
      </c>
      <c r="AX110" s="35">
        <f>F110*AP110</f>
        <v>0</v>
      </c>
      <c r="AY110" s="36" t="s">
        <v>351</v>
      </c>
      <c r="AZ110" s="36" t="s">
        <v>361</v>
      </c>
      <c r="BA110" s="28" t="s">
        <v>366</v>
      </c>
      <c r="BC110" s="35">
        <f>AW110+AX110</f>
        <v>0</v>
      </c>
      <c r="BD110" s="35">
        <f>G110/(100-BE110)*100</f>
        <v>0</v>
      </c>
      <c r="BE110" s="35">
        <v>0</v>
      </c>
      <c r="BF110" s="35">
        <f>L110</f>
        <v>0.12075</v>
      </c>
      <c r="BH110" s="20">
        <f>F110*AO110</f>
        <v>0</v>
      </c>
      <c r="BI110" s="20">
        <f>F110*AP110</f>
        <v>0</v>
      </c>
      <c r="BJ110" s="20">
        <f>F110*G110</f>
        <v>0</v>
      </c>
    </row>
    <row r="111" ht="12.75">
      <c r="D111" s="15" t="s">
        <v>233</v>
      </c>
    </row>
    <row r="112" spans="4:6" ht="12.75">
      <c r="D112" s="16" t="s">
        <v>234</v>
      </c>
      <c r="F112" s="21">
        <v>45</v>
      </c>
    </row>
    <row r="113" spans="4:6" ht="12.75">
      <c r="D113" s="16" t="s">
        <v>235</v>
      </c>
      <c r="F113" s="21">
        <v>50</v>
      </c>
    </row>
    <row r="114" spans="4:6" ht="12.75">
      <c r="D114" s="16" t="s">
        <v>236</v>
      </c>
      <c r="F114" s="21">
        <v>20</v>
      </c>
    </row>
    <row r="115" spans="1:62" ht="12.75">
      <c r="A115" s="4" t="s">
        <v>37</v>
      </c>
      <c r="B115" s="4" t="s">
        <v>68</v>
      </c>
      <c r="C115" s="4" t="s">
        <v>107</v>
      </c>
      <c r="D115" s="4" t="s">
        <v>237</v>
      </c>
      <c r="E115" s="4" t="s">
        <v>304</v>
      </c>
      <c r="F115" s="20">
        <v>17.5</v>
      </c>
      <c r="G115" s="130">
        <v>0</v>
      </c>
      <c r="H115" s="20">
        <f>F115*AO115</f>
        <v>0</v>
      </c>
      <c r="I115" s="20">
        <f>F115*AP115</f>
        <v>0</v>
      </c>
      <c r="J115" s="20">
        <f>F115*G115</f>
        <v>0</v>
      </c>
      <c r="K115" s="20">
        <v>0</v>
      </c>
      <c r="L115" s="20">
        <f>F115*K115</f>
        <v>0</v>
      </c>
      <c r="M115" s="31" t="s">
        <v>329</v>
      </c>
      <c r="Z115" s="35">
        <f>IF(AQ115="5",BJ115,0)</f>
        <v>0</v>
      </c>
      <c r="AB115" s="35">
        <f>IF(AQ115="1",BH115,0)</f>
        <v>0</v>
      </c>
      <c r="AC115" s="35">
        <f>IF(AQ115="1",BI115,0)</f>
        <v>0</v>
      </c>
      <c r="AD115" s="35">
        <f>IF(AQ115="7",BH115,0)</f>
        <v>0</v>
      </c>
      <c r="AE115" s="35">
        <f>IF(AQ115="7",BI115,0)</f>
        <v>0</v>
      </c>
      <c r="AF115" s="35">
        <f>IF(AQ115="2",BH115,0)</f>
        <v>0</v>
      </c>
      <c r="AG115" s="35">
        <f>IF(AQ115="2",BI115,0)</f>
        <v>0</v>
      </c>
      <c r="AH115" s="35">
        <f>IF(AQ115="0",BJ115,0)</f>
        <v>0</v>
      </c>
      <c r="AI115" s="28" t="s">
        <v>68</v>
      </c>
      <c r="AJ115" s="20">
        <f>IF(AN115=0,J115,0)</f>
        <v>0</v>
      </c>
      <c r="AK115" s="20">
        <f>IF(AN115=15,J115,0)</f>
        <v>0</v>
      </c>
      <c r="AL115" s="20">
        <f>IF(AN115=21,J115,0)</f>
        <v>0</v>
      </c>
      <c r="AN115" s="35">
        <v>21</v>
      </c>
      <c r="AO115" s="35">
        <f>G115*0</f>
        <v>0</v>
      </c>
      <c r="AP115" s="35">
        <f>G115*(1-0)</f>
        <v>0</v>
      </c>
      <c r="AQ115" s="31" t="s">
        <v>12</v>
      </c>
      <c r="AV115" s="35">
        <f>AW115+AX115</f>
        <v>0</v>
      </c>
      <c r="AW115" s="35">
        <f>F115*AO115</f>
        <v>0</v>
      </c>
      <c r="AX115" s="35">
        <f>F115*AP115</f>
        <v>0</v>
      </c>
      <c r="AY115" s="36" t="s">
        <v>351</v>
      </c>
      <c r="AZ115" s="36" t="s">
        <v>361</v>
      </c>
      <c r="BA115" s="28" t="s">
        <v>366</v>
      </c>
      <c r="BC115" s="35">
        <f>AW115+AX115</f>
        <v>0</v>
      </c>
      <c r="BD115" s="35">
        <f>G115/(100-BE115)*100</f>
        <v>0</v>
      </c>
      <c r="BE115" s="35">
        <v>0</v>
      </c>
      <c r="BF115" s="35">
        <f>L115</f>
        <v>0</v>
      </c>
      <c r="BH115" s="20">
        <f>F115*AO115</f>
        <v>0</v>
      </c>
      <c r="BI115" s="20">
        <f>F115*AP115</f>
        <v>0</v>
      </c>
      <c r="BJ115" s="20">
        <f>F115*G115</f>
        <v>0</v>
      </c>
    </row>
    <row r="116" spans="4:6" ht="12.75">
      <c r="D116" s="16" t="s">
        <v>238</v>
      </c>
      <c r="F116" s="21">
        <v>8</v>
      </c>
    </row>
    <row r="117" spans="4:6" ht="12.75">
      <c r="D117" s="16" t="s">
        <v>239</v>
      </c>
      <c r="F117" s="21">
        <v>4.5</v>
      </c>
    </row>
    <row r="118" spans="4:6" ht="12.75">
      <c r="D118" s="16" t="s">
        <v>240</v>
      </c>
      <c r="F118" s="21">
        <v>5</v>
      </c>
    </row>
    <row r="119" spans="1:62" ht="12.75">
      <c r="A119" s="5" t="s">
        <v>38</v>
      </c>
      <c r="B119" s="5" t="s">
        <v>68</v>
      </c>
      <c r="C119" s="5" t="s">
        <v>108</v>
      </c>
      <c r="D119" s="5" t="s">
        <v>241</v>
      </c>
      <c r="E119" s="5" t="s">
        <v>304</v>
      </c>
      <c r="F119" s="22">
        <v>12</v>
      </c>
      <c r="G119" s="130">
        <v>0</v>
      </c>
      <c r="H119" s="22">
        <f>F119*AO119</f>
        <v>0</v>
      </c>
      <c r="I119" s="22">
        <f>F119*AP119</f>
        <v>0</v>
      </c>
      <c r="J119" s="22">
        <f>F119*G119</f>
        <v>0</v>
      </c>
      <c r="K119" s="22">
        <v>0.0024</v>
      </c>
      <c r="L119" s="22">
        <f>F119*K119</f>
        <v>0.0288</v>
      </c>
      <c r="M119" s="32" t="s">
        <v>329</v>
      </c>
      <c r="Z119" s="35">
        <f>IF(AQ119="5",BJ119,0)</f>
        <v>0</v>
      </c>
      <c r="AB119" s="35">
        <f>IF(AQ119="1",BH119,0)</f>
        <v>0</v>
      </c>
      <c r="AC119" s="35">
        <f>IF(AQ119="1",BI119,0)</f>
        <v>0</v>
      </c>
      <c r="AD119" s="35">
        <f>IF(AQ119="7",BH119,0)</f>
        <v>0</v>
      </c>
      <c r="AE119" s="35">
        <f>IF(AQ119="7",BI119,0)</f>
        <v>0</v>
      </c>
      <c r="AF119" s="35">
        <f>IF(AQ119="2",BH119,0)</f>
        <v>0</v>
      </c>
      <c r="AG119" s="35">
        <f>IF(AQ119="2",BI119,0)</f>
        <v>0</v>
      </c>
      <c r="AH119" s="35">
        <f>IF(AQ119="0",BJ119,0)</f>
        <v>0</v>
      </c>
      <c r="AI119" s="28" t="s">
        <v>68</v>
      </c>
      <c r="AJ119" s="22">
        <f>IF(AN119=0,J119,0)</f>
        <v>0</v>
      </c>
      <c r="AK119" s="22">
        <f>IF(AN119=15,J119,0)</f>
        <v>0</v>
      </c>
      <c r="AL119" s="22">
        <f>IF(AN119=21,J119,0)</f>
        <v>0</v>
      </c>
      <c r="AN119" s="35">
        <v>21</v>
      </c>
      <c r="AO119" s="35">
        <f>G119*1</f>
        <v>0</v>
      </c>
      <c r="AP119" s="35">
        <f>G119*(1-1)</f>
        <v>0</v>
      </c>
      <c r="AQ119" s="32" t="s">
        <v>12</v>
      </c>
      <c r="AV119" s="35">
        <f>AW119+AX119</f>
        <v>0</v>
      </c>
      <c r="AW119" s="35">
        <f>F119*AO119</f>
        <v>0</v>
      </c>
      <c r="AX119" s="35">
        <f>F119*AP119</f>
        <v>0</v>
      </c>
      <c r="AY119" s="36" t="s">
        <v>351</v>
      </c>
      <c r="AZ119" s="36" t="s">
        <v>361</v>
      </c>
      <c r="BA119" s="28" t="s">
        <v>366</v>
      </c>
      <c r="BC119" s="35">
        <f>AW119+AX119</f>
        <v>0</v>
      </c>
      <c r="BD119" s="35">
        <f>G119/(100-BE119)*100</f>
        <v>0</v>
      </c>
      <c r="BE119" s="35">
        <v>0</v>
      </c>
      <c r="BF119" s="35">
        <f>L119</f>
        <v>0.0288</v>
      </c>
      <c r="BH119" s="22">
        <f>F119*AO119</f>
        <v>0</v>
      </c>
      <c r="BI119" s="22">
        <f>F119*AP119</f>
        <v>0</v>
      </c>
      <c r="BJ119" s="22">
        <f>F119*G119</f>
        <v>0</v>
      </c>
    </row>
    <row r="120" spans="4:6" ht="12.75">
      <c r="D120" s="16" t="s">
        <v>242</v>
      </c>
      <c r="F120" s="21">
        <v>8</v>
      </c>
    </row>
    <row r="121" spans="4:6" ht="12.75">
      <c r="D121" s="16" t="s">
        <v>243</v>
      </c>
      <c r="F121" s="21">
        <v>4</v>
      </c>
    </row>
    <row r="122" spans="1:62" ht="12.75">
      <c r="A122" s="5" t="s">
        <v>39</v>
      </c>
      <c r="B122" s="5" t="s">
        <v>68</v>
      </c>
      <c r="C122" s="5" t="s">
        <v>109</v>
      </c>
      <c r="D122" s="5" t="s">
        <v>244</v>
      </c>
      <c r="E122" s="5" t="s">
        <v>308</v>
      </c>
      <c r="F122" s="22">
        <v>3</v>
      </c>
      <c r="G122" s="130">
        <v>0</v>
      </c>
      <c r="H122" s="22">
        <f>F122*AO122</f>
        <v>0</v>
      </c>
      <c r="I122" s="22">
        <f>F122*AP122</f>
        <v>0</v>
      </c>
      <c r="J122" s="22">
        <f>F122*G122</f>
        <v>0</v>
      </c>
      <c r="K122" s="22">
        <v>0.0632</v>
      </c>
      <c r="L122" s="22">
        <f>F122*K122</f>
        <v>0.18960000000000002</v>
      </c>
      <c r="M122" s="32" t="s">
        <v>329</v>
      </c>
      <c r="Z122" s="35">
        <f>IF(AQ122="5",BJ122,0)</f>
        <v>0</v>
      </c>
      <c r="AB122" s="35">
        <f>IF(AQ122="1",BH122,0)</f>
        <v>0</v>
      </c>
      <c r="AC122" s="35">
        <f>IF(AQ122="1",BI122,0)</f>
        <v>0</v>
      </c>
      <c r="AD122" s="35">
        <f>IF(AQ122="7",BH122,0)</f>
        <v>0</v>
      </c>
      <c r="AE122" s="35">
        <f>IF(AQ122="7",BI122,0)</f>
        <v>0</v>
      </c>
      <c r="AF122" s="35">
        <f>IF(AQ122="2",BH122,0)</f>
        <v>0</v>
      </c>
      <c r="AG122" s="35">
        <f>IF(AQ122="2",BI122,0)</f>
        <v>0</v>
      </c>
      <c r="AH122" s="35">
        <f>IF(AQ122="0",BJ122,0)</f>
        <v>0</v>
      </c>
      <c r="AI122" s="28" t="s">
        <v>68</v>
      </c>
      <c r="AJ122" s="22">
        <f>IF(AN122=0,J122,0)</f>
        <v>0</v>
      </c>
      <c r="AK122" s="22">
        <f>IF(AN122=15,J122,0)</f>
        <v>0</v>
      </c>
      <c r="AL122" s="22">
        <f>IF(AN122=21,J122,0)</f>
        <v>0</v>
      </c>
      <c r="AN122" s="35">
        <v>21</v>
      </c>
      <c r="AO122" s="35">
        <f>G122*1</f>
        <v>0</v>
      </c>
      <c r="AP122" s="35">
        <f>G122*(1-1)</f>
        <v>0</v>
      </c>
      <c r="AQ122" s="32" t="s">
        <v>12</v>
      </c>
      <c r="AV122" s="35">
        <f>AW122+AX122</f>
        <v>0</v>
      </c>
      <c r="AW122" s="35">
        <f>F122*AO122</f>
        <v>0</v>
      </c>
      <c r="AX122" s="35">
        <f>F122*AP122</f>
        <v>0</v>
      </c>
      <c r="AY122" s="36" t="s">
        <v>351</v>
      </c>
      <c r="AZ122" s="36" t="s">
        <v>361</v>
      </c>
      <c r="BA122" s="28" t="s">
        <v>366</v>
      </c>
      <c r="BC122" s="35">
        <f>AW122+AX122</f>
        <v>0</v>
      </c>
      <c r="BD122" s="35">
        <f>G122/(100-BE122)*100</f>
        <v>0</v>
      </c>
      <c r="BE122" s="35">
        <v>0</v>
      </c>
      <c r="BF122" s="35">
        <f>L122</f>
        <v>0.18960000000000002</v>
      </c>
      <c r="BH122" s="22">
        <f>F122*AO122</f>
        <v>0</v>
      </c>
      <c r="BI122" s="22">
        <f>F122*AP122</f>
        <v>0</v>
      </c>
      <c r="BJ122" s="22">
        <f>F122*G122</f>
        <v>0</v>
      </c>
    </row>
    <row r="123" spans="3:13" ht="12.75">
      <c r="C123" s="12" t="s">
        <v>73</v>
      </c>
      <c r="D123" s="98" t="s">
        <v>245</v>
      </c>
      <c r="E123" s="99"/>
      <c r="F123" s="99"/>
      <c r="G123" s="99"/>
      <c r="H123" s="99"/>
      <c r="I123" s="99"/>
      <c r="J123" s="99"/>
      <c r="K123" s="99"/>
      <c r="L123" s="99"/>
      <c r="M123" s="99"/>
    </row>
    <row r="124" spans="1:62" ht="12.75">
      <c r="A124" s="4" t="s">
        <v>40</v>
      </c>
      <c r="B124" s="4" t="s">
        <v>68</v>
      </c>
      <c r="C124" s="4" t="s">
        <v>110</v>
      </c>
      <c r="D124" s="4" t="s">
        <v>246</v>
      </c>
      <c r="E124" s="4" t="s">
        <v>304</v>
      </c>
      <c r="F124" s="20">
        <v>8</v>
      </c>
      <c r="G124" s="130">
        <v>0</v>
      </c>
      <c r="H124" s="20">
        <f>F124*AO124</f>
        <v>0</v>
      </c>
      <c r="I124" s="20">
        <f>F124*AP124</f>
        <v>0</v>
      </c>
      <c r="J124" s="20">
        <f>F124*G124</f>
        <v>0</v>
      </c>
      <c r="K124" s="20">
        <v>0</v>
      </c>
      <c r="L124" s="20">
        <f>F124*K124</f>
        <v>0</v>
      </c>
      <c r="M124" s="31" t="s">
        <v>329</v>
      </c>
      <c r="Z124" s="35">
        <f>IF(AQ124="5",BJ124,0)</f>
        <v>0</v>
      </c>
      <c r="AB124" s="35">
        <f>IF(AQ124="1",BH124,0)</f>
        <v>0</v>
      </c>
      <c r="AC124" s="35">
        <f>IF(AQ124="1",BI124,0)</f>
        <v>0</v>
      </c>
      <c r="AD124" s="35">
        <f>IF(AQ124="7",BH124,0)</f>
        <v>0</v>
      </c>
      <c r="AE124" s="35">
        <f>IF(AQ124="7",BI124,0)</f>
        <v>0</v>
      </c>
      <c r="AF124" s="35">
        <f>IF(AQ124="2",BH124,0)</f>
        <v>0</v>
      </c>
      <c r="AG124" s="35">
        <f>IF(AQ124="2",BI124,0)</f>
        <v>0</v>
      </c>
      <c r="AH124" s="35">
        <f>IF(AQ124="0",BJ124,0)</f>
        <v>0</v>
      </c>
      <c r="AI124" s="28" t="s">
        <v>68</v>
      </c>
      <c r="AJ124" s="20">
        <f>IF(AN124=0,J124,0)</f>
        <v>0</v>
      </c>
      <c r="AK124" s="20">
        <f>IF(AN124=15,J124,0)</f>
        <v>0</v>
      </c>
      <c r="AL124" s="20">
        <f>IF(AN124=21,J124,0)</f>
        <v>0</v>
      </c>
      <c r="AN124" s="35">
        <v>21</v>
      </c>
      <c r="AO124" s="35">
        <f>G124*0</f>
        <v>0</v>
      </c>
      <c r="AP124" s="35">
        <f>G124*(1-0)</f>
        <v>0</v>
      </c>
      <c r="AQ124" s="31" t="s">
        <v>12</v>
      </c>
      <c r="AV124" s="35">
        <f>AW124+AX124</f>
        <v>0</v>
      </c>
      <c r="AW124" s="35">
        <f>F124*AO124</f>
        <v>0</v>
      </c>
      <c r="AX124" s="35">
        <f>F124*AP124</f>
        <v>0</v>
      </c>
      <c r="AY124" s="36" t="s">
        <v>351</v>
      </c>
      <c r="AZ124" s="36" t="s">
        <v>361</v>
      </c>
      <c r="BA124" s="28" t="s">
        <v>366</v>
      </c>
      <c r="BC124" s="35">
        <f>AW124+AX124</f>
        <v>0</v>
      </c>
      <c r="BD124" s="35">
        <f>G124/(100-BE124)*100</f>
        <v>0</v>
      </c>
      <c r="BE124" s="35">
        <v>0</v>
      </c>
      <c r="BF124" s="35">
        <f>L124</f>
        <v>0</v>
      </c>
      <c r="BH124" s="20">
        <f>F124*AO124</f>
        <v>0</v>
      </c>
      <c r="BI124" s="20">
        <f>F124*AP124</f>
        <v>0</v>
      </c>
      <c r="BJ124" s="20">
        <f>F124*G124</f>
        <v>0</v>
      </c>
    </row>
    <row r="125" spans="1:47" ht="12.75">
      <c r="A125" s="3"/>
      <c r="B125" s="11" t="s">
        <v>68</v>
      </c>
      <c r="C125" s="11" t="s">
        <v>111</v>
      </c>
      <c r="D125" s="11" t="s">
        <v>247</v>
      </c>
      <c r="E125" s="3" t="s">
        <v>5</v>
      </c>
      <c r="F125" s="3" t="s">
        <v>5</v>
      </c>
      <c r="G125" s="3" t="s">
        <v>5</v>
      </c>
      <c r="H125" s="37">
        <f>SUM(H126:H126)</f>
        <v>0</v>
      </c>
      <c r="I125" s="37">
        <f>SUM(I126:I126)</f>
        <v>0</v>
      </c>
      <c r="J125" s="37">
        <f>SUM(J126:J126)</f>
        <v>0</v>
      </c>
      <c r="K125" s="28"/>
      <c r="L125" s="37">
        <f>SUM(L126:L126)</f>
        <v>0.0044</v>
      </c>
      <c r="M125" s="28"/>
      <c r="AI125" s="28" t="s">
        <v>68</v>
      </c>
      <c r="AS125" s="37">
        <f>SUM(AJ126:AJ126)</f>
        <v>0</v>
      </c>
      <c r="AT125" s="37">
        <f>SUM(AK126:AK126)</f>
        <v>0</v>
      </c>
      <c r="AU125" s="37">
        <f>SUM(AL126:AL126)</f>
        <v>0</v>
      </c>
    </row>
    <row r="126" spans="1:62" ht="12.75">
      <c r="A126" s="4" t="s">
        <v>41</v>
      </c>
      <c r="B126" s="4" t="s">
        <v>68</v>
      </c>
      <c r="C126" s="4" t="s">
        <v>112</v>
      </c>
      <c r="D126" s="4" t="s">
        <v>248</v>
      </c>
      <c r="E126" s="4" t="s">
        <v>308</v>
      </c>
      <c r="F126" s="20">
        <v>10</v>
      </c>
      <c r="G126" s="130">
        <v>0</v>
      </c>
      <c r="H126" s="20">
        <f>F126*AO126</f>
        <v>0</v>
      </c>
      <c r="I126" s="20">
        <f>F126*AP126</f>
        <v>0</v>
      </c>
      <c r="J126" s="20">
        <f>F126*G126</f>
        <v>0</v>
      </c>
      <c r="K126" s="20">
        <v>0.00044</v>
      </c>
      <c r="L126" s="20">
        <f>F126*K126</f>
        <v>0.0044</v>
      </c>
      <c r="M126" s="31" t="s">
        <v>329</v>
      </c>
      <c r="Z126" s="35">
        <f>IF(AQ126="5",BJ126,0)</f>
        <v>0</v>
      </c>
      <c r="AB126" s="35">
        <f>IF(AQ126="1",BH126,0)</f>
        <v>0</v>
      </c>
      <c r="AC126" s="35">
        <f>IF(AQ126="1",BI126,0)</f>
        <v>0</v>
      </c>
      <c r="AD126" s="35">
        <f>IF(AQ126="7",BH126,0)</f>
        <v>0</v>
      </c>
      <c r="AE126" s="35">
        <f>IF(AQ126="7",BI126,0)</f>
        <v>0</v>
      </c>
      <c r="AF126" s="35">
        <f>IF(AQ126="2",BH126,0)</f>
        <v>0</v>
      </c>
      <c r="AG126" s="35">
        <f>IF(AQ126="2",BI126,0)</f>
        <v>0</v>
      </c>
      <c r="AH126" s="35">
        <f>IF(AQ126="0",BJ126,0)</f>
        <v>0</v>
      </c>
      <c r="AI126" s="28" t="s">
        <v>68</v>
      </c>
      <c r="AJ126" s="20">
        <f>IF(AN126=0,J126,0)</f>
        <v>0</v>
      </c>
      <c r="AK126" s="20">
        <f>IF(AN126=15,J126,0)</f>
        <v>0</v>
      </c>
      <c r="AL126" s="20">
        <f>IF(AN126=21,J126,0)</f>
        <v>0</v>
      </c>
      <c r="AN126" s="35">
        <v>21</v>
      </c>
      <c r="AO126" s="35">
        <f>G126*0.0619760848126233</f>
        <v>0</v>
      </c>
      <c r="AP126" s="35">
        <f>G126*(1-0.0619760848126233)</f>
        <v>0</v>
      </c>
      <c r="AQ126" s="31" t="s">
        <v>6</v>
      </c>
      <c r="AV126" s="35">
        <f>AW126+AX126</f>
        <v>0</v>
      </c>
      <c r="AW126" s="35">
        <f>F126*AO126</f>
        <v>0</v>
      </c>
      <c r="AX126" s="35">
        <f>F126*AP126</f>
        <v>0</v>
      </c>
      <c r="AY126" s="36" t="s">
        <v>352</v>
      </c>
      <c r="AZ126" s="36" t="s">
        <v>362</v>
      </c>
      <c r="BA126" s="28" t="s">
        <v>366</v>
      </c>
      <c r="BC126" s="35">
        <f>AW126+AX126</f>
        <v>0</v>
      </c>
      <c r="BD126" s="35">
        <f>G126/(100-BE126)*100</f>
        <v>0</v>
      </c>
      <c r="BE126" s="35">
        <v>0</v>
      </c>
      <c r="BF126" s="35">
        <f>L126</f>
        <v>0.0044</v>
      </c>
      <c r="BH126" s="20">
        <f>F126*AO126</f>
        <v>0</v>
      </c>
      <c r="BI126" s="20">
        <f>F126*AP126</f>
        <v>0</v>
      </c>
      <c r="BJ126" s="20">
        <f>F126*G126</f>
        <v>0</v>
      </c>
    </row>
    <row r="127" ht="12.75">
      <c r="D127" s="15" t="s">
        <v>249</v>
      </c>
    </row>
    <row r="128" spans="3:13" ht="12.75">
      <c r="C128" s="12" t="s">
        <v>73</v>
      </c>
      <c r="D128" s="98" t="s">
        <v>250</v>
      </c>
      <c r="E128" s="99"/>
      <c r="F128" s="99"/>
      <c r="G128" s="99"/>
      <c r="H128" s="99"/>
      <c r="I128" s="99"/>
      <c r="J128" s="99"/>
      <c r="K128" s="99"/>
      <c r="L128" s="99"/>
      <c r="M128" s="99"/>
    </row>
    <row r="129" spans="1:13" s="66" customFormat="1" ht="12.75">
      <c r="A129" s="67"/>
      <c r="B129" s="68" t="s">
        <v>69</v>
      </c>
      <c r="C129" s="68"/>
      <c r="D129" s="68" t="s">
        <v>251</v>
      </c>
      <c r="E129" s="67" t="s">
        <v>5</v>
      </c>
      <c r="F129" s="67" t="s">
        <v>5</v>
      </c>
      <c r="G129" s="67" t="s">
        <v>5</v>
      </c>
      <c r="H129" s="69">
        <f>H130</f>
        <v>0</v>
      </c>
      <c r="I129" s="69">
        <f>I130</f>
        <v>0</v>
      </c>
      <c r="J129" s="69">
        <f>J130</f>
        <v>0</v>
      </c>
      <c r="K129" s="70"/>
      <c r="L129" s="69">
        <f>L130</f>
        <v>0.47485</v>
      </c>
      <c r="M129" s="70"/>
    </row>
    <row r="130" spans="1:47" ht="12.75">
      <c r="A130" s="3"/>
      <c r="B130" s="11" t="s">
        <v>69</v>
      </c>
      <c r="C130" s="11" t="s">
        <v>23</v>
      </c>
      <c r="D130" s="11" t="s">
        <v>155</v>
      </c>
      <c r="E130" s="3" t="s">
        <v>5</v>
      </c>
      <c r="F130" s="3" t="s">
        <v>5</v>
      </c>
      <c r="G130" s="3" t="s">
        <v>5</v>
      </c>
      <c r="H130" s="37">
        <f>SUM(H131:H172)</f>
        <v>0</v>
      </c>
      <c r="I130" s="37">
        <f>SUM(I131:I172)</f>
        <v>0</v>
      </c>
      <c r="J130" s="37">
        <f>SUM(J131:J172)</f>
        <v>0</v>
      </c>
      <c r="K130" s="28"/>
      <c r="L130" s="37">
        <f>SUM(L131:L172)</f>
        <v>0.47485</v>
      </c>
      <c r="M130" s="28"/>
      <c r="AI130" s="28" t="s">
        <v>69</v>
      </c>
      <c r="AS130" s="37">
        <f>SUM(AJ131:AJ172)</f>
        <v>0</v>
      </c>
      <c r="AT130" s="37">
        <f>SUM(AK131:AK172)</f>
        <v>0</v>
      </c>
      <c r="AU130" s="37">
        <f>SUM(AL131:AL172)</f>
        <v>0</v>
      </c>
    </row>
    <row r="131" spans="1:62" ht="12.75">
      <c r="A131" s="4" t="s">
        <v>42</v>
      </c>
      <c r="B131" s="4" t="s">
        <v>69</v>
      </c>
      <c r="C131" s="4" t="s">
        <v>113</v>
      </c>
      <c r="D131" s="4" t="s">
        <v>252</v>
      </c>
      <c r="E131" s="4" t="s">
        <v>307</v>
      </c>
      <c r="F131" s="20">
        <v>242</v>
      </c>
      <c r="G131" s="130">
        <v>0</v>
      </c>
      <c r="H131" s="20">
        <f>F131*AO131</f>
        <v>0</v>
      </c>
      <c r="I131" s="20">
        <f>F131*AP131</f>
        <v>0</v>
      </c>
      <c r="J131" s="20">
        <f>F131*G131</f>
        <v>0</v>
      </c>
      <c r="K131" s="20">
        <v>0</v>
      </c>
      <c r="L131" s="20">
        <f>F131*K131</f>
        <v>0</v>
      </c>
      <c r="M131" s="31" t="s">
        <v>329</v>
      </c>
      <c r="Z131" s="35">
        <f>IF(AQ131="5",BJ131,0)</f>
        <v>0</v>
      </c>
      <c r="AB131" s="35">
        <f>IF(AQ131="1",BH131,0)</f>
        <v>0</v>
      </c>
      <c r="AC131" s="35">
        <f>IF(AQ131="1",BI131,0)</f>
        <v>0</v>
      </c>
      <c r="AD131" s="35">
        <f>IF(AQ131="7",BH131,0)</f>
        <v>0</v>
      </c>
      <c r="AE131" s="35">
        <f>IF(AQ131="7",BI131,0)</f>
        <v>0</v>
      </c>
      <c r="AF131" s="35">
        <f>IF(AQ131="2",BH131,0)</f>
        <v>0</v>
      </c>
      <c r="AG131" s="35">
        <f>IF(AQ131="2",BI131,0)</f>
        <v>0</v>
      </c>
      <c r="AH131" s="35">
        <f>IF(AQ131="0",BJ131,0)</f>
        <v>0</v>
      </c>
      <c r="AI131" s="28" t="s">
        <v>69</v>
      </c>
      <c r="AJ131" s="20">
        <f>IF(AN131=0,J131,0)</f>
        <v>0</v>
      </c>
      <c r="AK131" s="20">
        <f>IF(AN131=15,J131,0)</f>
        <v>0</v>
      </c>
      <c r="AL131" s="20">
        <f>IF(AN131=21,J131,0)</f>
        <v>0</v>
      </c>
      <c r="AN131" s="35">
        <v>21</v>
      </c>
      <c r="AO131" s="35">
        <f>G131*0</f>
        <v>0</v>
      </c>
      <c r="AP131" s="35">
        <f>G131*(1-0)</f>
        <v>0</v>
      </c>
      <c r="AQ131" s="31" t="s">
        <v>6</v>
      </c>
      <c r="AV131" s="35">
        <f>AW131+AX131</f>
        <v>0</v>
      </c>
      <c r="AW131" s="35">
        <f>F131*AO131</f>
        <v>0</v>
      </c>
      <c r="AX131" s="35">
        <f>F131*AP131</f>
        <v>0</v>
      </c>
      <c r="AY131" s="36" t="s">
        <v>341</v>
      </c>
      <c r="AZ131" s="36" t="s">
        <v>363</v>
      </c>
      <c r="BA131" s="28" t="s">
        <v>367</v>
      </c>
      <c r="BC131" s="35">
        <f>AW131+AX131</f>
        <v>0</v>
      </c>
      <c r="BD131" s="35">
        <f>G131/(100-BE131)*100</f>
        <v>0</v>
      </c>
      <c r="BE131" s="35">
        <v>0</v>
      </c>
      <c r="BF131" s="35">
        <f>L131</f>
        <v>0</v>
      </c>
      <c r="BH131" s="20">
        <f>F131*AO131</f>
        <v>0</v>
      </c>
      <c r="BI131" s="20">
        <f>F131*AP131</f>
        <v>0</v>
      </c>
      <c r="BJ131" s="20">
        <f>F131*G131</f>
        <v>0</v>
      </c>
    </row>
    <row r="132" spans="4:6" ht="12.75">
      <c r="D132" s="16" t="s">
        <v>253</v>
      </c>
      <c r="F132" s="21">
        <v>222</v>
      </c>
    </row>
    <row r="133" spans="4:6" ht="12.75">
      <c r="D133" s="16" t="s">
        <v>254</v>
      </c>
      <c r="F133" s="21">
        <v>20</v>
      </c>
    </row>
    <row r="134" spans="1:62" ht="12.75">
      <c r="A134" s="4" t="s">
        <v>43</v>
      </c>
      <c r="B134" s="4" t="s">
        <v>69</v>
      </c>
      <c r="C134" s="4" t="s">
        <v>114</v>
      </c>
      <c r="D134" s="4" t="s">
        <v>255</v>
      </c>
      <c r="E134" s="4" t="s">
        <v>307</v>
      </c>
      <c r="F134" s="20">
        <v>484</v>
      </c>
      <c r="G134" s="130">
        <v>0</v>
      </c>
      <c r="H134" s="20">
        <f>F134*AO134</f>
        <v>0</v>
      </c>
      <c r="I134" s="20">
        <f>F134*AP134</f>
        <v>0</v>
      </c>
      <c r="J134" s="20">
        <f>F134*G134</f>
        <v>0</v>
      </c>
      <c r="K134" s="20">
        <v>0</v>
      </c>
      <c r="L134" s="20">
        <f>F134*K134</f>
        <v>0</v>
      </c>
      <c r="M134" s="31" t="s">
        <v>329</v>
      </c>
      <c r="Z134" s="35">
        <f>IF(AQ134="5",BJ134,0)</f>
        <v>0</v>
      </c>
      <c r="AB134" s="35">
        <f>IF(AQ134="1",BH134,0)</f>
        <v>0</v>
      </c>
      <c r="AC134" s="35">
        <f>IF(AQ134="1",BI134,0)</f>
        <v>0</v>
      </c>
      <c r="AD134" s="35">
        <f>IF(AQ134="7",BH134,0)</f>
        <v>0</v>
      </c>
      <c r="AE134" s="35">
        <f>IF(AQ134="7",BI134,0)</f>
        <v>0</v>
      </c>
      <c r="AF134" s="35">
        <f>IF(AQ134="2",BH134,0)</f>
        <v>0</v>
      </c>
      <c r="AG134" s="35">
        <f>IF(AQ134="2",BI134,0)</f>
        <v>0</v>
      </c>
      <c r="AH134" s="35">
        <f>IF(AQ134="0",BJ134,0)</f>
        <v>0</v>
      </c>
      <c r="AI134" s="28" t="s">
        <v>69</v>
      </c>
      <c r="AJ134" s="20">
        <f>IF(AN134=0,J134,0)</f>
        <v>0</v>
      </c>
      <c r="AK134" s="20">
        <f>IF(AN134=15,J134,0)</f>
        <v>0</v>
      </c>
      <c r="AL134" s="20">
        <f>IF(AN134=21,J134,0)</f>
        <v>0</v>
      </c>
      <c r="AN134" s="35">
        <v>21</v>
      </c>
      <c r="AO134" s="35">
        <f>G134*0.0104168161274123</f>
        <v>0</v>
      </c>
      <c r="AP134" s="35">
        <f>G134*(1-0.0104168161274123)</f>
        <v>0</v>
      </c>
      <c r="AQ134" s="31" t="s">
        <v>6</v>
      </c>
      <c r="AV134" s="35">
        <f>AW134+AX134</f>
        <v>0</v>
      </c>
      <c r="AW134" s="35">
        <f>F134*AO134</f>
        <v>0</v>
      </c>
      <c r="AX134" s="35">
        <f>F134*AP134</f>
        <v>0</v>
      </c>
      <c r="AY134" s="36" t="s">
        <v>341</v>
      </c>
      <c r="AZ134" s="36" t="s">
        <v>363</v>
      </c>
      <c r="BA134" s="28" t="s">
        <v>367</v>
      </c>
      <c r="BC134" s="35">
        <f>AW134+AX134</f>
        <v>0</v>
      </c>
      <c r="BD134" s="35">
        <f>G134/(100-BE134)*100</f>
        <v>0</v>
      </c>
      <c r="BE134" s="35">
        <v>0</v>
      </c>
      <c r="BF134" s="35">
        <f>L134</f>
        <v>0</v>
      </c>
      <c r="BH134" s="20">
        <f>F134*AO134</f>
        <v>0</v>
      </c>
      <c r="BI134" s="20">
        <f>F134*AP134</f>
        <v>0</v>
      </c>
      <c r="BJ134" s="20">
        <f>F134*G134</f>
        <v>0</v>
      </c>
    </row>
    <row r="135" spans="4:6" ht="12.75">
      <c r="D135" s="16" t="s">
        <v>256</v>
      </c>
      <c r="F135" s="21">
        <v>444</v>
      </c>
    </row>
    <row r="136" spans="4:6" ht="12.75">
      <c r="D136" s="16" t="s">
        <v>257</v>
      </c>
      <c r="F136" s="21">
        <v>40</v>
      </c>
    </row>
    <row r="137" spans="1:62" ht="12.75">
      <c r="A137" s="4" t="s">
        <v>44</v>
      </c>
      <c r="B137" s="4" t="s">
        <v>69</v>
      </c>
      <c r="C137" s="4" t="s">
        <v>115</v>
      </c>
      <c r="D137" s="4" t="s">
        <v>258</v>
      </c>
      <c r="E137" s="4" t="s">
        <v>307</v>
      </c>
      <c r="F137" s="20">
        <v>165</v>
      </c>
      <c r="G137" s="130">
        <v>0</v>
      </c>
      <c r="H137" s="20">
        <f>F137*AO137</f>
        <v>0</v>
      </c>
      <c r="I137" s="20">
        <f>F137*AP137</f>
        <v>0</v>
      </c>
      <c r="J137" s="20">
        <f>F137*G137</f>
        <v>0</v>
      </c>
      <c r="K137" s="20">
        <v>3E-05</v>
      </c>
      <c r="L137" s="20">
        <f>F137*K137</f>
        <v>0.00495</v>
      </c>
      <c r="M137" s="31" t="s">
        <v>329</v>
      </c>
      <c r="Z137" s="35">
        <f>IF(AQ137="5",BJ137,0)</f>
        <v>0</v>
      </c>
      <c r="AB137" s="35">
        <f>IF(AQ137="1",BH137,0)</f>
        <v>0</v>
      </c>
      <c r="AC137" s="35">
        <f>IF(AQ137="1",BI137,0)</f>
        <v>0</v>
      </c>
      <c r="AD137" s="35">
        <f>IF(AQ137="7",BH137,0)</f>
        <v>0</v>
      </c>
      <c r="AE137" s="35">
        <f>IF(AQ137="7",BI137,0)</f>
        <v>0</v>
      </c>
      <c r="AF137" s="35">
        <f>IF(AQ137="2",BH137,0)</f>
        <v>0</v>
      </c>
      <c r="AG137" s="35">
        <f>IF(AQ137="2",BI137,0)</f>
        <v>0</v>
      </c>
      <c r="AH137" s="35">
        <f>IF(AQ137="0",BJ137,0)</f>
        <v>0</v>
      </c>
      <c r="AI137" s="28" t="s">
        <v>69</v>
      </c>
      <c r="AJ137" s="20">
        <f>IF(AN137=0,J137,0)</f>
        <v>0</v>
      </c>
      <c r="AK137" s="20">
        <f>IF(AN137=15,J137,0)</f>
        <v>0</v>
      </c>
      <c r="AL137" s="20">
        <f>IF(AN137=21,J137,0)</f>
        <v>0</v>
      </c>
      <c r="AN137" s="35">
        <v>21</v>
      </c>
      <c r="AO137" s="35">
        <f>G137*0.168154552931972</f>
        <v>0</v>
      </c>
      <c r="AP137" s="35">
        <f>G137*(1-0.168154552931972)</f>
        <v>0</v>
      </c>
      <c r="AQ137" s="31" t="s">
        <v>6</v>
      </c>
      <c r="AV137" s="35">
        <f>AW137+AX137</f>
        <v>0</v>
      </c>
      <c r="AW137" s="35">
        <f>F137*AO137</f>
        <v>0</v>
      </c>
      <c r="AX137" s="35">
        <f>F137*AP137</f>
        <v>0</v>
      </c>
      <c r="AY137" s="36" t="s">
        <v>341</v>
      </c>
      <c r="AZ137" s="36" t="s">
        <v>363</v>
      </c>
      <c r="BA137" s="28" t="s">
        <v>367</v>
      </c>
      <c r="BC137" s="35">
        <f>AW137+AX137</f>
        <v>0</v>
      </c>
      <c r="BD137" s="35">
        <f>G137/(100-BE137)*100</f>
        <v>0</v>
      </c>
      <c r="BE137" s="35">
        <v>0</v>
      </c>
      <c r="BF137" s="35">
        <f>L137</f>
        <v>0.00495</v>
      </c>
      <c r="BH137" s="20">
        <f>F137*AO137</f>
        <v>0</v>
      </c>
      <c r="BI137" s="20">
        <f>F137*AP137</f>
        <v>0</v>
      </c>
      <c r="BJ137" s="20">
        <f>F137*G137</f>
        <v>0</v>
      </c>
    </row>
    <row r="138" spans="4:6" ht="12.75">
      <c r="D138" s="16" t="s">
        <v>259</v>
      </c>
      <c r="F138" s="21">
        <v>100</v>
      </c>
    </row>
    <row r="139" spans="4:6" ht="12.75">
      <c r="D139" s="16" t="s">
        <v>260</v>
      </c>
      <c r="F139" s="21">
        <v>65</v>
      </c>
    </row>
    <row r="140" spans="3:13" ht="12.75">
      <c r="C140" s="12" t="s">
        <v>73</v>
      </c>
      <c r="D140" s="98" t="s">
        <v>261</v>
      </c>
      <c r="E140" s="99"/>
      <c r="F140" s="99"/>
      <c r="G140" s="99"/>
      <c r="H140" s="99"/>
      <c r="I140" s="99"/>
      <c r="J140" s="99"/>
      <c r="K140" s="99"/>
      <c r="L140" s="99"/>
      <c r="M140" s="99"/>
    </row>
    <row r="141" spans="1:62" ht="12.75">
      <c r="A141" s="4" t="s">
        <v>45</v>
      </c>
      <c r="B141" s="4" t="s">
        <v>69</v>
      </c>
      <c r="C141" s="4" t="s">
        <v>116</v>
      </c>
      <c r="D141" s="4" t="s">
        <v>262</v>
      </c>
      <c r="E141" s="4" t="s">
        <v>308</v>
      </c>
      <c r="F141" s="20">
        <v>1</v>
      </c>
      <c r="G141" s="130">
        <v>0</v>
      </c>
      <c r="H141" s="20">
        <f>F141*AO141</f>
        <v>0</v>
      </c>
      <c r="I141" s="20">
        <f>F141*AP141</f>
        <v>0</v>
      </c>
      <c r="J141" s="20">
        <f>F141*G141</f>
        <v>0</v>
      </c>
      <c r="K141" s="20">
        <v>0</v>
      </c>
      <c r="L141" s="20">
        <f>F141*K141</f>
        <v>0</v>
      </c>
      <c r="M141" s="31" t="s">
        <v>329</v>
      </c>
      <c r="Z141" s="35">
        <f>IF(AQ141="5",BJ141,0)</f>
        <v>0</v>
      </c>
      <c r="AB141" s="35">
        <f>IF(AQ141="1",BH141,0)</f>
        <v>0</v>
      </c>
      <c r="AC141" s="35">
        <f>IF(AQ141="1",BI141,0)</f>
        <v>0</v>
      </c>
      <c r="AD141" s="35">
        <f>IF(AQ141="7",BH141,0)</f>
        <v>0</v>
      </c>
      <c r="AE141" s="35">
        <f>IF(AQ141="7",BI141,0)</f>
        <v>0</v>
      </c>
      <c r="AF141" s="35">
        <f>IF(AQ141="2",BH141,0)</f>
        <v>0</v>
      </c>
      <c r="AG141" s="35">
        <f>IF(AQ141="2",BI141,0)</f>
        <v>0</v>
      </c>
      <c r="AH141" s="35">
        <f>IF(AQ141="0",BJ141,0)</f>
        <v>0</v>
      </c>
      <c r="AI141" s="28" t="s">
        <v>69</v>
      </c>
      <c r="AJ141" s="20">
        <f>IF(AN141=0,J141,0)</f>
        <v>0</v>
      </c>
      <c r="AK141" s="20">
        <f>IF(AN141=15,J141,0)</f>
        <v>0</v>
      </c>
      <c r="AL141" s="20">
        <f>IF(AN141=21,J141,0)</f>
        <v>0</v>
      </c>
      <c r="AN141" s="35">
        <v>21</v>
      </c>
      <c r="AO141" s="35">
        <f>G141*0</f>
        <v>0</v>
      </c>
      <c r="AP141" s="35">
        <f>G141*(1-0)</f>
        <v>0</v>
      </c>
      <c r="AQ141" s="31" t="s">
        <v>6</v>
      </c>
      <c r="AV141" s="35">
        <f>AW141+AX141</f>
        <v>0</v>
      </c>
      <c r="AW141" s="35">
        <f>F141*AO141</f>
        <v>0</v>
      </c>
      <c r="AX141" s="35">
        <f>F141*AP141</f>
        <v>0</v>
      </c>
      <c r="AY141" s="36" t="s">
        <v>341</v>
      </c>
      <c r="AZ141" s="36" t="s">
        <v>363</v>
      </c>
      <c r="BA141" s="28" t="s">
        <v>367</v>
      </c>
      <c r="BC141" s="35">
        <f>AW141+AX141</f>
        <v>0</v>
      </c>
      <c r="BD141" s="35">
        <f>G141/(100-BE141)*100</f>
        <v>0</v>
      </c>
      <c r="BE141" s="35">
        <v>0</v>
      </c>
      <c r="BF141" s="35">
        <f>L141</f>
        <v>0</v>
      </c>
      <c r="BH141" s="20">
        <f>F141*AO141</f>
        <v>0</v>
      </c>
      <c r="BI141" s="20">
        <f>F141*AP141</f>
        <v>0</v>
      </c>
      <c r="BJ141" s="20">
        <f>F141*G141</f>
        <v>0</v>
      </c>
    </row>
    <row r="142" spans="1:62" ht="12.75">
      <c r="A142" s="4" t="s">
        <v>46</v>
      </c>
      <c r="B142" s="4" t="s">
        <v>69</v>
      </c>
      <c r="C142" s="4" t="s">
        <v>117</v>
      </c>
      <c r="D142" s="4" t="s">
        <v>263</v>
      </c>
      <c r="E142" s="4" t="s">
        <v>308</v>
      </c>
      <c r="F142" s="20">
        <v>4</v>
      </c>
      <c r="G142" s="130">
        <v>0</v>
      </c>
      <c r="H142" s="20">
        <f>F142*AO142</f>
        <v>0</v>
      </c>
      <c r="I142" s="20">
        <f>F142*AP142</f>
        <v>0</v>
      </c>
      <c r="J142" s="20">
        <f>F142*G142</f>
        <v>0</v>
      </c>
      <c r="K142" s="20">
        <v>0</v>
      </c>
      <c r="L142" s="20">
        <f>F142*K142</f>
        <v>0</v>
      </c>
      <c r="M142" s="31" t="s">
        <v>329</v>
      </c>
      <c r="Z142" s="35">
        <f>IF(AQ142="5",BJ142,0)</f>
        <v>0</v>
      </c>
      <c r="AB142" s="35">
        <f>IF(AQ142="1",BH142,0)</f>
        <v>0</v>
      </c>
      <c r="AC142" s="35">
        <f>IF(AQ142="1",BI142,0)</f>
        <v>0</v>
      </c>
      <c r="AD142" s="35">
        <f>IF(AQ142="7",BH142,0)</f>
        <v>0</v>
      </c>
      <c r="AE142" s="35">
        <f>IF(AQ142="7",BI142,0)</f>
        <v>0</v>
      </c>
      <c r="AF142" s="35">
        <f>IF(AQ142="2",BH142,0)</f>
        <v>0</v>
      </c>
      <c r="AG142" s="35">
        <f>IF(AQ142="2",BI142,0)</f>
        <v>0</v>
      </c>
      <c r="AH142" s="35">
        <f>IF(AQ142="0",BJ142,0)</f>
        <v>0</v>
      </c>
      <c r="AI142" s="28" t="s">
        <v>69</v>
      </c>
      <c r="AJ142" s="20">
        <f>IF(AN142=0,J142,0)</f>
        <v>0</v>
      </c>
      <c r="AK142" s="20">
        <f>IF(AN142=15,J142,0)</f>
        <v>0</v>
      </c>
      <c r="AL142" s="20">
        <f>IF(AN142=21,J142,0)</f>
        <v>0</v>
      </c>
      <c r="AN142" s="35">
        <v>21</v>
      </c>
      <c r="AO142" s="35">
        <f>G142*0</f>
        <v>0</v>
      </c>
      <c r="AP142" s="35">
        <f>G142*(1-0)</f>
        <v>0</v>
      </c>
      <c r="AQ142" s="31" t="s">
        <v>6</v>
      </c>
      <c r="AV142" s="35">
        <f>AW142+AX142</f>
        <v>0</v>
      </c>
      <c r="AW142" s="35">
        <f>F142*AO142</f>
        <v>0</v>
      </c>
      <c r="AX142" s="35">
        <f>F142*AP142</f>
        <v>0</v>
      </c>
      <c r="AY142" s="36" t="s">
        <v>341</v>
      </c>
      <c r="AZ142" s="36" t="s">
        <v>363</v>
      </c>
      <c r="BA142" s="28" t="s">
        <v>367</v>
      </c>
      <c r="BC142" s="35">
        <f>AW142+AX142</f>
        <v>0</v>
      </c>
      <c r="BD142" s="35">
        <f>G142/(100-BE142)*100</f>
        <v>0</v>
      </c>
      <c r="BE142" s="35">
        <v>0</v>
      </c>
      <c r="BF142" s="35">
        <f>L142</f>
        <v>0</v>
      </c>
      <c r="BH142" s="20">
        <f>F142*AO142</f>
        <v>0</v>
      </c>
      <c r="BI142" s="20">
        <f>F142*AP142</f>
        <v>0</v>
      </c>
      <c r="BJ142" s="20">
        <f>F142*G142</f>
        <v>0</v>
      </c>
    </row>
    <row r="143" spans="1:62" ht="12.75">
      <c r="A143" s="4" t="s">
        <v>47</v>
      </c>
      <c r="B143" s="4" t="s">
        <v>69</v>
      </c>
      <c r="C143" s="4" t="s">
        <v>118</v>
      </c>
      <c r="D143" s="4" t="s">
        <v>264</v>
      </c>
      <c r="E143" s="4" t="s">
        <v>308</v>
      </c>
      <c r="F143" s="20">
        <v>70</v>
      </c>
      <c r="G143" s="130">
        <v>0</v>
      </c>
      <c r="H143" s="20">
        <f>F143*AO143</f>
        <v>0</v>
      </c>
      <c r="I143" s="20">
        <f>F143*AP143</f>
        <v>0</v>
      </c>
      <c r="J143" s="20">
        <f>F143*G143</f>
        <v>0</v>
      </c>
      <c r="K143" s="20">
        <v>0</v>
      </c>
      <c r="L143" s="20">
        <f>F143*K143</f>
        <v>0</v>
      </c>
      <c r="M143" s="31" t="s">
        <v>329</v>
      </c>
      <c r="Z143" s="35">
        <f>IF(AQ143="5",BJ143,0)</f>
        <v>0</v>
      </c>
      <c r="AB143" s="35">
        <f>IF(AQ143="1",BH143,0)</f>
        <v>0</v>
      </c>
      <c r="AC143" s="35">
        <f>IF(AQ143="1",BI143,0)</f>
        <v>0</v>
      </c>
      <c r="AD143" s="35">
        <f>IF(AQ143="7",BH143,0)</f>
        <v>0</v>
      </c>
      <c r="AE143" s="35">
        <f>IF(AQ143="7",BI143,0)</f>
        <v>0</v>
      </c>
      <c r="AF143" s="35">
        <f>IF(AQ143="2",BH143,0)</f>
        <v>0</v>
      </c>
      <c r="AG143" s="35">
        <f>IF(AQ143="2",BI143,0)</f>
        <v>0</v>
      </c>
      <c r="AH143" s="35">
        <f>IF(AQ143="0",BJ143,0)</f>
        <v>0</v>
      </c>
      <c r="AI143" s="28" t="s">
        <v>69</v>
      </c>
      <c r="AJ143" s="20">
        <f>IF(AN143=0,J143,0)</f>
        <v>0</v>
      </c>
      <c r="AK143" s="20">
        <f>IF(AN143=15,J143,0)</f>
        <v>0</v>
      </c>
      <c r="AL143" s="20">
        <f>IF(AN143=21,J143,0)</f>
        <v>0</v>
      </c>
      <c r="AN143" s="35">
        <v>21</v>
      </c>
      <c r="AO143" s="35">
        <f>G143*0</f>
        <v>0</v>
      </c>
      <c r="AP143" s="35">
        <f>G143*(1-0)</f>
        <v>0</v>
      </c>
      <c r="AQ143" s="31" t="s">
        <v>6</v>
      </c>
      <c r="AV143" s="35">
        <f>AW143+AX143</f>
        <v>0</v>
      </c>
      <c r="AW143" s="35">
        <f>F143*AO143</f>
        <v>0</v>
      </c>
      <c r="AX143" s="35">
        <f>F143*AP143</f>
        <v>0</v>
      </c>
      <c r="AY143" s="36" t="s">
        <v>341</v>
      </c>
      <c r="AZ143" s="36" t="s">
        <v>363</v>
      </c>
      <c r="BA143" s="28" t="s">
        <v>367</v>
      </c>
      <c r="BC143" s="35">
        <f>AW143+AX143</f>
        <v>0</v>
      </c>
      <c r="BD143" s="35">
        <f>G143/(100-BE143)*100</f>
        <v>0</v>
      </c>
      <c r="BE143" s="35">
        <v>0</v>
      </c>
      <c r="BF143" s="35">
        <f>L143</f>
        <v>0</v>
      </c>
      <c r="BH143" s="20">
        <f>F143*AO143</f>
        <v>0</v>
      </c>
      <c r="BI143" s="20">
        <f>F143*AP143</f>
        <v>0</v>
      </c>
      <c r="BJ143" s="20">
        <f>F143*G143</f>
        <v>0</v>
      </c>
    </row>
    <row r="144" spans="1:62" ht="12.75">
      <c r="A144" s="4" t="s">
        <v>48</v>
      </c>
      <c r="B144" s="4" t="s">
        <v>69</v>
      </c>
      <c r="C144" s="4" t="s">
        <v>119</v>
      </c>
      <c r="D144" s="4" t="s">
        <v>265</v>
      </c>
      <c r="E144" s="4" t="s">
        <v>308</v>
      </c>
      <c r="F144" s="20">
        <v>1</v>
      </c>
      <c r="G144" s="130">
        <v>0</v>
      </c>
      <c r="H144" s="20">
        <f>F144*AO144</f>
        <v>0</v>
      </c>
      <c r="I144" s="20">
        <f>F144*AP144</f>
        <v>0</v>
      </c>
      <c r="J144" s="20">
        <f>F144*G144</f>
        <v>0</v>
      </c>
      <c r="K144" s="20">
        <v>0</v>
      </c>
      <c r="L144" s="20">
        <f>F144*K144</f>
        <v>0</v>
      </c>
      <c r="M144" s="31" t="s">
        <v>329</v>
      </c>
      <c r="Z144" s="35">
        <f>IF(AQ144="5",BJ144,0)</f>
        <v>0</v>
      </c>
      <c r="AB144" s="35">
        <f>IF(AQ144="1",BH144,0)</f>
        <v>0</v>
      </c>
      <c r="AC144" s="35">
        <f>IF(AQ144="1",BI144,0)</f>
        <v>0</v>
      </c>
      <c r="AD144" s="35">
        <f>IF(AQ144="7",BH144,0)</f>
        <v>0</v>
      </c>
      <c r="AE144" s="35">
        <f>IF(AQ144="7",BI144,0)</f>
        <v>0</v>
      </c>
      <c r="AF144" s="35">
        <f>IF(AQ144="2",BH144,0)</f>
        <v>0</v>
      </c>
      <c r="AG144" s="35">
        <f>IF(AQ144="2",BI144,0)</f>
        <v>0</v>
      </c>
      <c r="AH144" s="35">
        <f>IF(AQ144="0",BJ144,0)</f>
        <v>0</v>
      </c>
      <c r="AI144" s="28" t="s">
        <v>69</v>
      </c>
      <c r="AJ144" s="20">
        <f>IF(AN144=0,J144,0)</f>
        <v>0</v>
      </c>
      <c r="AK144" s="20">
        <f>IF(AN144=15,J144,0)</f>
        <v>0</v>
      </c>
      <c r="AL144" s="20">
        <f>IF(AN144=21,J144,0)</f>
        <v>0</v>
      </c>
      <c r="AN144" s="35">
        <v>21</v>
      </c>
      <c r="AO144" s="35">
        <f>G144*0.0057116953762466</f>
        <v>0</v>
      </c>
      <c r="AP144" s="35">
        <f>G144*(1-0.0057116953762466)</f>
        <v>0</v>
      </c>
      <c r="AQ144" s="31" t="s">
        <v>6</v>
      </c>
      <c r="AV144" s="35">
        <f>AW144+AX144</f>
        <v>0</v>
      </c>
      <c r="AW144" s="35">
        <f>F144*AO144</f>
        <v>0</v>
      </c>
      <c r="AX144" s="35">
        <f>F144*AP144</f>
        <v>0</v>
      </c>
      <c r="AY144" s="36" t="s">
        <v>341</v>
      </c>
      <c r="AZ144" s="36" t="s">
        <v>363</v>
      </c>
      <c r="BA144" s="28" t="s">
        <v>367</v>
      </c>
      <c r="BC144" s="35">
        <f>AW144+AX144</f>
        <v>0</v>
      </c>
      <c r="BD144" s="35">
        <f>G144/(100-BE144)*100</f>
        <v>0</v>
      </c>
      <c r="BE144" s="35">
        <v>0</v>
      </c>
      <c r="BF144" s="35">
        <f>L144</f>
        <v>0</v>
      </c>
      <c r="BH144" s="20">
        <f>F144*AO144</f>
        <v>0</v>
      </c>
      <c r="BI144" s="20">
        <f>F144*AP144</f>
        <v>0</v>
      </c>
      <c r="BJ144" s="20">
        <f>F144*G144</f>
        <v>0</v>
      </c>
    </row>
    <row r="145" spans="1:62" ht="12.75">
      <c r="A145" s="4" t="s">
        <v>49</v>
      </c>
      <c r="B145" s="4" t="s">
        <v>69</v>
      </c>
      <c r="C145" s="4" t="s">
        <v>120</v>
      </c>
      <c r="D145" s="4" t="s">
        <v>266</v>
      </c>
      <c r="E145" s="4" t="s">
        <v>308</v>
      </c>
      <c r="F145" s="20">
        <v>3</v>
      </c>
      <c r="G145" s="130">
        <v>0</v>
      </c>
      <c r="H145" s="20">
        <f>F145*AO145</f>
        <v>0</v>
      </c>
      <c r="I145" s="20">
        <f>F145*AP145</f>
        <v>0</v>
      </c>
      <c r="J145" s="20">
        <f>F145*G145</f>
        <v>0</v>
      </c>
      <c r="K145" s="20">
        <v>1E-05</v>
      </c>
      <c r="L145" s="20">
        <f>F145*K145</f>
        <v>3.0000000000000004E-05</v>
      </c>
      <c r="M145" s="31" t="s">
        <v>329</v>
      </c>
      <c r="Z145" s="35">
        <f>IF(AQ145="5",BJ145,0)</f>
        <v>0</v>
      </c>
      <c r="AB145" s="35">
        <f>IF(AQ145="1",BH145,0)</f>
        <v>0</v>
      </c>
      <c r="AC145" s="35">
        <f>IF(AQ145="1",BI145,0)</f>
        <v>0</v>
      </c>
      <c r="AD145" s="35">
        <f>IF(AQ145="7",BH145,0)</f>
        <v>0</v>
      </c>
      <c r="AE145" s="35">
        <f>IF(AQ145="7",BI145,0)</f>
        <v>0</v>
      </c>
      <c r="AF145" s="35">
        <f>IF(AQ145="2",BH145,0)</f>
        <v>0</v>
      </c>
      <c r="AG145" s="35">
        <f>IF(AQ145="2",BI145,0)</f>
        <v>0</v>
      </c>
      <c r="AH145" s="35">
        <f>IF(AQ145="0",BJ145,0)</f>
        <v>0</v>
      </c>
      <c r="AI145" s="28" t="s">
        <v>69</v>
      </c>
      <c r="AJ145" s="20">
        <f>IF(AN145=0,J145,0)</f>
        <v>0</v>
      </c>
      <c r="AK145" s="20">
        <f>IF(AN145=15,J145,0)</f>
        <v>0</v>
      </c>
      <c r="AL145" s="20">
        <f>IF(AN145=21,J145,0)</f>
        <v>0</v>
      </c>
      <c r="AN145" s="35">
        <v>21</v>
      </c>
      <c r="AO145" s="35">
        <f>G145*0.0808724832214765</f>
        <v>0</v>
      </c>
      <c r="AP145" s="35">
        <f>G145*(1-0.0808724832214765)</f>
        <v>0</v>
      </c>
      <c r="AQ145" s="31" t="s">
        <v>6</v>
      </c>
      <c r="AV145" s="35">
        <f>AW145+AX145</f>
        <v>0</v>
      </c>
      <c r="AW145" s="35">
        <f>F145*AO145</f>
        <v>0</v>
      </c>
      <c r="AX145" s="35">
        <f>F145*AP145</f>
        <v>0</v>
      </c>
      <c r="AY145" s="36" t="s">
        <v>341</v>
      </c>
      <c r="AZ145" s="36" t="s">
        <v>363</v>
      </c>
      <c r="BA145" s="28" t="s">
        <v>367</v>
      </c>
      <c r="BC145" s="35">
        <f>AW145+AX145</f>
        <v>0</v>
      </c>
      <c r="BD145" s="35">
        <f>G145/(100-BE145)*100</f>
        <v>0</v>
      </c>
      <c r="BE145" s="35">
        <v>0</v>
      </c>
      <c r="BF145" s="35">
        <f>L145</f>
        <v>3.0000000000000004E-05</v>
      </c>
      <c r="BH145" s="20">
        <f>F145*AO145</f>
        <v>0</v>
      </c>
      <c r="BI145" s="20">
        <f>F145*AP145</f>
        <v>0</v>
      </c>
      <c r="BJ145" s="20">
        <f>F145*G145</f>
        <v>0</v>
      </c>
    </row>
    <row r="146" spans="4:6" ht="12.75">
      <c r="D146" s="16" t="s">
        <v>267</v>
      </c>
      <c r="F146" s="21">
        <v>3</v>
      </c>
    </row>
    <row r="147" spans="1:62" ht="12.75">
      <c r="A147" s="4" t="s">
        <v>50</v>
      </c>
      <c r="B147" s="4" t="s">
        <v>69</v>
      </c>
      <c r="C147" s="4" t="s">
        <v>121</v>
      </c>
      <c r="D147" s="4" t="s">
        <v>268</v>
      </c>
      <c r="E147" s="4" t="s">
        <v>305</v>
      </c>
      <c r="F147" s="132">
        <v>0.001</v>
      </c>
      <c r="G147" s="130">
        <v>0</v>
      </c>
      <c r="H147" s="20">
        <f>F147*AO147</f>
        <v>0</v>
      </c>
      <c r="I147" s="20">
        <f>F147*AP147</f>
        <v>0</v>
      </c>
      <c r="J147" s="20">
        <f>F147*G147</f>
        <v>0</v>
      </c>
      <c r="K147" s="20">
        <v>0</v>
      </c>
      <c r="L147" s="20">
        <f>F147*K147</f>
        <v>0</v>
      </c>
      <c r="M147" s="31" t="s">
        <v>329</v>
      </c>
      <c r="Z147" s="35">
        <f>IF(AQ147="5",BJ147,0)</f>
        <v>0</v>
      </c>
      <c r="AB147" s="35">
        <f>IF(AQ147="1",BH147,0)</f>
        <v>0</v>
      </c>
      <c r="AC147" s="35">
        <f>IF(AQ147="1",BI147,0)</f>
        <v>0</v>
      </c>
      <c r="AD147" s="35">
        <f>IF(AQ147="7",BH147,0)</f>
        <v>0</v>
      </c>
      <c r="AE147" s="35">
        <f>IF(AQ147="7",BI147,0)</f>
        <v>0</v>
      </c>
      <c r="AF147" s="35">
        <f>IF(AQ147="2",BH147,0)</f>
        <v>0</v>
      </c>
      <c r="AG147" s="35">
        <f>IF(AQ147="2",BI147,0)</f>
        <v>0</v>
      </c>
      <c r="AH147" s="35">
        <f>IF(AQ147="0",BJ147,0)</f>
        <v>0</v>
      </c>
      <c r="AI147" s="28" t="s">
        <v>69</v>
      </c>
      <c r="AJ147" s="20">
        <f>IF(AN147=0,J147,0)</f>
        <v>0</v>
      </c>
      <c r="AK147" s="20">
        <f>IF(AN147=15,J147,0)</f>
        <v>0</v>
      </c>
      <c r="AL147" s="20">
        <f>IF(AN147=21,J147,0)</f>
        <v>0</v>
      </c>
      <c r="AN147" s="35">
        <v>21</v>
      </c>
      <c r="AO147" s="35">
        <f>G147*0</f>
        <v>0</v>
      </c>
      <c r="AP147" s="35">
        <f>G147*(1-0)</f>
        <v>0</v>
      </c>
      <c r="AQ147" s="31" t="s">
        <v>6</v>
      </c>
      <c r="AV147" s="35">
        <f>AW147+AX147</f>
        <v>0</v>
      </c>
      <c r="AW147" s="35">
        <f>F147*AO147</f>
        <v>0</v>
      </c>
      <c r="AX147" s="35">
        <f>F147*AP147</f>
        <v>0</v>
      </c>
      <c r="AY147" s="36" t="s">
        <v>341</v>
      </c>
      <c r="AZ147" s="36" t="s">
        <v>363</v>
      </c>
      <c r="BA147" s="28" t="s">
        <v>367</v>
      </c>
      <c r="BC147" s="35">
        <f>AW147+AX147</f>
        <v>0</v>
      </c>
      <c r="BD147" s="35">
        <f>G147/(100-BE147)*100</f>
        <v>0</v>
      </c>
      <c r="BE147" s="35">
        <v>0</v>
      </c>
      <c r="BF147" s="35">
        <f>L147</f>
        <v>0</v>
      </c>
      <c r="BH147" s="20">
        <f>F147*AO147</f>
        <v>0</v>
      </c>
      <c r="BI147" s="20">
        <f>F147*AP147</f>
        <v>0</v>
      </c>
      <c r="BJ147" s="20">
        <f>F147*G147</f>
        <v>0</v>
      </c>
    </row>
    <row r="148" spans="1:62" ht="12.75">
      <c r="A148" s="4" t="s">
        <v>51</v>
      </c>
      <c r="B148" s="4" t="s">
        <v>69</v>
      </c>
      <c r="C148" s="4" t="s">
        <v>122</v>
      </c>
      <c r="D148" s="4" t="s">
        <v>269</v>
      </c>
      <c r="E148" s="4" t="s">
        <v>306</v>
      </c>
      <c r="F148" s="20">
        <v>0.675</v>
      </c>
      <c r="G148" s="130">
        <v>0</v>
      </c>
      <c r="H148" s="20">
        <f>F148*AO148</f>
        <v>0</v>
      </c>
      <c r="I148" s="20">
        <f>F148*AP148</f>
        <v>0</v>
      </c>
      <c r="J148" s="20">
        <f>F148*G148</f>
        <v>0</v>
      </c>
      <c r="K148" s="20">
        <v>0</v>
      </c>
      <c r="L148" s="20">
        <f>F148*K148</f>
        <v>0</v>
      </c>
      <c r="M148" s="31" t="s">
        <v>329</v>
      </c>
      <c r="Z148" s="35">
        <f>IF(AQ148="5",BJ148,0)</f>
        <v>0</v>
      </c>
      <c r="AB148" s="35">
        <f>IF(AQ148="1",BH148,0)</f>
        <v>0</v>
      </c>
      <c r="AC148" s="35">
        <f>IF(AQ148="1",BI148,0)</f>
        <v>0</v>
      </c>
      <c r="AD148" s="35">
        <f>IF(AQ148="7",BH148,0)</f>
        <v>0</v>
      </c>
      <c r="AE148" s="35">
        <f>IF(AQ148="7",BI148,0)</f>
        <v>0</v>
      </c>
      <c r="AF148" s="35">
        <f>IF(AQ148="2",BH148,0)</f>
        <v>0</v>
      </c>
      <c r="AG148" s="35">
        <f>IF(AQ148="2",BI148,0)</f>
        <v>0</v>
      </c>
      <c r="AH148" s="35">
        <f>IF(AQ148="0",BJ148,0)</f>
        <v>0</v>
      </c>
      <c r="AI148" s="28" t="s">
        <v>69</v>
      </c>
      <c r="AJ148" s="20">
        <f>IF(AN148=0,J148,0)</f>
        <v>0</v>
      </c>
      <c r="AK148" s="20">
        <f>IF(AN148=15,J148,0)</f>
        <v>0</v>
      </c>
      <c r="AL148" s="20">
        <f>IF(AN148=21,J148,0)</f>
        <v>0</v>
      </c>
      <c r="AN148" s="35">
        <v>21</v>
      </c>
      <c r="AO148" s="35">
        <f>G148*0.13372641509434</f>
        <v>0</v>
      </c>
      <c r="AP148" s="35">
        <f>G148*(1-0.13372641509434)</f>
        <v>0</v>
      </c>
      <c r="AQ148" s="31" t="s">
        <v>6</v>
      </c>
      <c r="AV148" s="35">
        <f>AW148+AX148</f>
        <v>0</v>
      </c>
      <c r="AW148" s="35">
        <f>F148*AO148</f>
        <v>0</v>
      </c>
      <c r="AX148" s="35">
        <f>F148*AP148</f>
        <v>0</v>
      </c>
      <c r="AY148" s="36" t="s">
        <v>341</v>
      </c>
      <c r="AZ148" s="36" t="s">
        <v>363</v>
      </c>
      <c r="BA148" s="28" t="s">
        <v>367</v>
      </c>
      <c r="BC148" s="35">
        <f>AW148+AX148</f>
        <v>0</v>
      </c>
      <c r="BD148" s="35">
        <f>G148/(100-BE148)*100</f>
        <v>0</v>
      </c>
      <c r="BE148" s="35">
        <v>0</v>
      </c>
      <c r="BF148" s="35">
        <f>L148</f>
        <v>0</v>
      </c>
      <c r="BH148" s="20">
        <f>F148*AO148</f>
        <v>0</v>
      </c>
      <c r="BI148" s="20">
        <f>F148*AP148</f>
        <v>0</v>
      </c>
      <c r="BJ148" s="20">
        <f>F148*G148</f>
        <v>0</v>
      </c>
    </row>
    <row r="149" ht="25.5">
      <c r="D149" s="15" t="s">
        <v>270</v>
      </c>
    </row>
    <row r="150" spans="4:6" ht="12.75">
      <c r="D150" s="16" t="s">
        <v>271</v>
      </c>
      <c r="F150" s="21">
        <v>0.675</v>
      </c>
    </row>
    <row r="151" spans="1:62" ht="12.75">
      <c r="A151" s="4" t="s">
        <v>52</v>
      </c>
      <c r="B151" s="4" t="s">
        <v>69</v>
      </c>
      <c r="C151" s="4" t="s">
        <v>123</v>
      </c>
      <c r="D151" s="4" t="s">
        <v>272</v>
      </c>
      <c r="E151" s="4" t="s">
        <v>308</v>
      </c>
      <c r="F151" s="20">
        <v>4</v>
      </c>
      <c r="G151" s="130">
        <v>0</v>
      </c>
      <c r="H151" s="20">
        <f>F151*AO151</f>
        <v>0</v>
      </c>
      <c r="I151" s="20">
        <f>F151*AP151</f>
        <v>0</v>
      </c>
      <c r="J151" s="20">
        <f>F151*G151</f>
        <v>0</v>
      </c>
      <c r="K151" s="20">
        <v>0</v>
      </c>
      <c r="L151" s="20">
        <f>F151*K151</f>
        <v>0</v>
      </c>
      <c r="M151" s="31" t="s">
        <v>329</v>
      </c>
      <c r="Z151" s="35">
        <f>IF(AQ151="5",BJ151,0)</f>
        <v>0</v>
      </c>
      <c r="AB151" s="35">
        <f>IF(AQ151="1",BH151,0)</f>
        <v>0</v>
      </c>
      <c r="AC151" s="35">
        <f>IF(AQ151="1",BI151,0)</f>
        <v>0</v>
      </c>
      <c r="AD151" s="35">
        <f>IF(AQ151="7",BH151,0)</f>
        <v>0</v>
      </c>
      <c r="AE151" s="35">
        <f>IF(AQ151="7",BI151,0)</f>
        <v>0</v>
      </c>
      <c r="AF151" s="35">
        <f>IF(AQ151="2",BH151,0)</f>
        <v>0</v>
      </c>
      <c r="AG151" s="35">
        <f>IF(AQ151="2",BI151,0)</f>
        <v>0</v>
      </c>
      <c r="AH151" s="35">
        <f>IF(AQ151="0",BJ151,0)</f>
        <v>0</v>
      </c>
      <c r="AI151" s="28" t="s">
        <v>69</v>
      </c>
      <c r="AJ151" s="20">
        <f>IF(AN151=0,J151,0)</f>
        <v>0</v>
      </c>
      <c r="AK151" s="20">
        <f>IF(AN151=15,J151,0)</f>
        <v>0</v>
      </c>
      <c r="AL151" s="20">
        <f>IF(AN151=21,J151,0)</f>
        <v>0</v>
      </c>
      <c r="AN151" s="35">
        <v>21</v>
      </c>
      <c r="AO151" s="35">
        <f>G151*0.0123589995095635</f>
        <v>0</v>
      </c>
      <c r="AP151" s="35">
        <f>G151*(1-0.0123589995095635)</f>
        <v>0</v>
      </c>
      <c r="AQ151" s="31" t="s">
        <v>6</v>
      </c>
      <c r="AV151" s="35">
        <f>AW151+AX151</f>
        <v>0</v>
      </c>
      <c r="AW151" s="35">
        <f>F151*AO151</f>
        <v>0</v>
      </c>
      <c r="AX151" s="35">
        <f>F151*AP151</f>
        <v>0</v>
      </c>
      <c r="AY151" s="36" t="s">
        <v>341</v>
      </c>
      <c r="AZ151" s="36" t="s">
        <v>363</v>
      </c>
      <c r="BA151" s="28" t="s">
        <v>367</v>
      </c>
      <c r="BC151" s="35">
        <f>AW151+AX151</f>
        <v>0</v>
      </c>
      <c r="BD151" s="35">
        <f>G151/(100-BE151)*100</f>
        <v>0</v>
      </c>
      <c r="BE151" s="35">
        <v>0</v>
      </c>
      <c r="BF151" s="35">
        <f>L151</f>
        <v>0</v>
      </c>
      <c r="BH151" s="20">
        <f>F151*AO151</f>
        <v>0</v>
      </c>
      <c r="BI151" s="20">
        <f>F151*AP151</f>
        <v>0</v>
      </c>
      <c r="BJ151" s="20">
        <f>F151*G151</f>
        <v>0</v>
      </c>
    </row>
    <row r="152" spans="1:62" ht="12.75">
      <c r="A152" s="5" t="s">
        <v>53</v>
      </c>
      <c r="B152" s="5" t="s">
        <v>69</v>
      </c>
      <c r="C152" s="5" t="s">
        <v>124</v>
      </c>
      <c r="D152" s="5" t="s">
        <v>273</v>
      </c>
      <c r="E152" s="5" t="s">
        <v>308</v>
      </c>
      <c r="F152" s="22">
        <v>4</v>
      </c>
      <c r="G152" s="130">
        <v>0</v>
      </c>
      <c r="H152" s="22">
        <f>F152*AO152</f>
        <v>0</v>
      </c>
      <c r="I152" s="22">
        <f>F152*AP152</f>
        <v>0</v>
      </c>
      <c r="J152" s="22">
        <f>F152*G152</f>
        <v>0</v>
      </c>
      <c r="K152" s="22">
        <v>0.005</v>
      </c>
      <c r="L152" s="22">
        <f>F152*K152</f>
        <v>0.02</v>
      </c>
      <c r="M152" s="32" t="s">
        <v>329</v>
      </c>
      <c r="Z152" s="35">
        <f>IF(AQ152="5",BJ152,0)</f>
        <v>0</v>
      </c>
      <c r="AB152" s="35">
        <f>IF(AQ152="1",BH152,0)</f>
        <v>0</v>
      </c>
      <c r="AC152" s="35">
        <f>IF(AQ152="1",BI152,0)</f>
        <v>0</v>
      </c>
      <c r="AD152" s="35">
        <f>IF(AQ152="7",BH152,0)</f>
        <v>0</v>
      </c>
      <c r="AE152" s="35">
        <f>IF(AQ152="7",BI152,0)</f>
        <v>0</v>
      </c>
      <c r="AF152" s="35">
        <f>IF(AQ152="2",BH152,0)</f>
        <v>0</v>
      </c>
      <c r="AG152" s="35">
        <f>IF(AQ152="2",BI152,0)</f>
        <v>0</v>
      </c>
      <c r="AH152" s="35">
        <f>IF(AQ152="0",BJ152,0)</f>
        <v>0</v>
      </c>
      <c r="AI152" s="28" t="s">
        <v>69</v>
      </c>
      <c r="AJ152" s="22">
        <f>IF(AN152=0,J152,0)</f>
        <v>0</v>
      </c>
      <c r="AK152" s="22">
        <f>IF(AN152=15,J152,0)</f>
        <v>0</v>
      </c>
      <c r="AL152" s="22">
        <f>IF(AN152=21,J152,0)</f>
        <v>0</v>
      </c>
      <c r="AN152" s="35">
        <v>21</v>
      </c>
      <c r="AO152" s="35">
        <f>G152*1</f>
        <v>0</v>
      </c>
      <c r="AP152" s="35">
        <f>G152*(1-1)</f>
        <v>0</v>
      </c>
      <c r="AQ152" s="32" t="s">
        <v>6</v>
      </c>
      <c r="AV152" s="35">
        <f>AW152+AX152</f>
        <v>0</v>
      </c>
      <c r="AW152" s="35">
        <f>F152*AO152</f>
        <v>0</v>
      </c>
      <c r="AX152" s="35">
        <f>F152*AP152</f>
        <v>0</v>
      </c>
      <c r="AY152" s="36" t="s">
        <v>341</v>
      </c>
      <c r="AZ152" s="36" t="s">
        <v>363</v>
      </c>
      <c r="BA152" s="28" t="s">
        <v>367</v>
      </c>
      <c r="BC152" s="35">
        <f>AW152+AX152</f>
        <v>0</v>
      </c>
      <c r="BD152" s="35">
        <f>G152/(100-BE152)*100</f>
        <v>0</v>
      </c>
      <c r="BE152" s="35">
        <v>0</v>
      </c>
      <c r="BF152" s="35">
        <f>L152</f>
        <v>0.02</v>
      </c>
      <c r="BH152" s="22">
        <f>F152*AO152</f>
        <v>0</v>
      </c>
      <c r="BI152" s="22">
        <f>F152*AP152</f>
        <v>0</v>
      </c>
      <c r="BJ152" s="22">
        <f>F152*G152</f>
        <v>0</v>
      </c>
    </row>
    <row r="153" spans="4:6" ht="12.75">
      <c r="D153" s="16" t="s">
        <v>274</v>
      </c>
      <c r="F153" s="21">
        <v>4</v>
      </c>
    </row>
    <row r="154" spans="1:62" ht="12.75">
      <c r="A154" s="4" t="s">
        <v>54</v>
      </c>
      <c r="B154" s="4" t="s">
        <v>69</v>
      </c>
      <c r="C154" s="4" t="s">
        <v>125</v>
      </c>
      <c r="D154" s="4" t="s">
        <v>275</v>
      </c>
      <c r="E154" s="4" t="s">
        <v>308</v>
      </c>
      <c r="F154" s="20">
        <v>70</v>
      </c>
      <c r="G154" s="130">
        <v>0</v>
      </c>
      <c r="H154" s="20">
        <f>F154*AO154</f>
        <v>0</v>
      </c>
      <c r="I154" s="20">
        <f>F154*AP154</f>
        <v>0</v>
      </c>
      <c r="J154" s="20">
        <f>F154*G154</f>
        <v>0</v>
      </c>
      <c r="K154" s="20">
        <v>0</v>
      </c>
      <c r="L154" s="20">
        <f>F154*K154</f>
        <v>0</v>
      </c>
      <c r="M154" s="31" t="s">
        <v>329</v>
      </c>
      <c r="Z154" s="35">
        <f>IF(AQ154="5",BJ154,0)</f>
        <v>0</v>
      </c>
      <c r="AB154" s="35">
        <f>IF(AQ154="1",BH154,0)</f>
        <v>0</v>
      </c>
      <c r="AC154" s="35">
        <f>IF(AQ154="1",BI154,0)</f>
        <v>0</v>
      </c>
      <c r="AD154" s="35">
        <f>IF(AQ154="7",BH154,0)</f>
        <v>0</v>
      </c>
      <c r="AE154" s="35">
        <f>IF(AQ154="7",BI154,0)</f>
        <v>0</v>
      </c>
      <c r="AF154" s="35">
        <f>IF(AQ154="2",BH154,0)</f>
        <v>0</v>
      </c>
      <c r="AG154" s="35">
        <f>IF(AQ154="2",BI154,0)</f>
        <v>0</v>
      </c>
      <c r="AH154" s="35">
        <f>IF(AQ154="0",BJ154,0)</f>
        <v>0</v>
      </c>
      <c r="AI154" s="28" t="s">
        <v>69</v>
      </c>
      <c r="AJ154" s="20">
        <f>IF(AN154=0,J154,0)</f>
        <v>0</v>
      </c>
      <c r="AK154" s="20">
        <f>IF(AN154=15,J154,0)</f>
        <v>0</v>
      </c>
      <c r="AL154" s="20">
        <f>IF(AN154=21,J154,0)</f>
        <v>0</v>
      </c>
      <c r="AN154" s="35">
        <v>21</v>
      </c>
      <c r="AO154" s="35">
        <f>G154*0.0150537634408602</f>
        <v>0</v>
      </c>
      <c r="AP154" s="35">
        <f>G154*(1-0.0150537634408602)</f>
        <v>0</v>
      </c>
      <c r="AQ154" s="31" t="s">
        <v>6</v>
      </c>
      <c r="AV154" s="35">
        <f>AW154+AX154</f>
        <v>0</v>
      </c>
      <c r="AW154" s="35">
        <f>F154*AO154</f>
        <v>0</v>
      </c>
      <c r="AX154" s="35">
        <f>F154*AP154</f>
        <v>0</v>
      </c>
      <c r="AY154" s="36" t="s">
        <v>341</v>
      </c>
      <c r="AZ154" s="36" t="s">
        <v>363</v>
      </c>
      <c r="BA154" s="28" t="s">
        <v>367</v>
      </c>
      <c r="BC154" s="35">
        <f>AW154+AX154</f>
        <v>0</v>
      </c>
      <c r="BD154" s="35">
        <f>G154/(100-BE154)*100</f>
        <v>0</v>
      </c>
      <c r="BE154" s="35">
        <v>0</v>
      </c>
      <c r="BF154" s="35">
        <f>L154</f>
        <v>0</v>
      </c>
      <c r="BH154" s="20">
        <f>F154*AO154</f>
        <v>0</v>
      </c>
      <c r="BI154" s="20">
        <f>F154*AP154</f>
        <v>0</v>
      </c>
      <c r="BJ154" s="20">
        <f>F154*G154</f>
        <v>0</v>
      </c>
    </row>
    <row r="155" spans="1:62" ht="12.75">
      <c r="A155" s="5" t="s">
        <v>55</v>
      </c>
      <c r="B155" s="5" t="s">
        <v>69</v>
      </c>
      <c r="C155" s="5" t="s">
        <v>126</v>
      </c>
      <c r="D155" s="5" t="s">
        <v>276</v>
      </c>
      <c r="E155" s="5" t="s">
        <v>304</v>
      </c>
      <c r="F155" s="22">
        <v>1.5</v>
      </c>
      <c r="G155" s="130">
        <v>0</v>
      </c>
      <c r="H155" s="22">
        <f>F155*AO155</f>
        <v>0</v>
      </c>
      <c r="I155" s="22">
        <f>F155*AP155</f>
        <v>0</v>
      </c>
      <c r="J155" s="22">
        <f>F155*G155</f>
        <v>0</v>
      </c>
      <c r="K155" s="22">
        <v>2E-05</v>
      </c>
      <c r="L155" s="22">
        <f>F155*K155</f>
        <v>3.0000000000000004E-05</v>
      </c>
      <c r="M155" s="32" t="s">
        <v>329</v>
      </c>
      <c r="Z155" s="35">
        <f>IF(AQ155="5",BJ155,0)</f>
        <v>0</v>
      </c>
      <c r="AB155" s="35">
        <f>IF(AQ155="1",BH155,0)</f>
        <v>0</v>
      </c>
      <c r="AC155" s="35">
        <f>IF(AQ155="1",BI155,0)</f>
        <v>0</v>
      </c>
      <c r="AD155" s="35">
        <f>IF(AQ155="7",BH155,0)</f>
        <v>0</v>
      </c>
      <c r="AE155" s="35">
        <f>IF(AQ155="7",BI155,0)</f>
        <v>0</v>
      </c>
      <c r="AF155" s="35">
        <f>IF(AQ155="2",BH155,0)</f>
        <v>0</v>
      </c>
      <c r="AG155" s="35">
        <f>IF(AQ155="2",BI155,0)</f>
        <v>0</v>
      </c>
      <c r="AH155" s="35">
        <f>IF(AQ155="0",BJ155,0)</f>
        <v>0</v>
      </c>
      <c r="AI155" s="28" t="s">
        <v>69</v>
      </c>
      <c r="AJ155" s="22">
        <f>IF(AN155=0,J155,0)</f>
        <v>0</v>
      </c>
      <c r="AK155" s="22">
        <f>IF(AN155=15,J155,0)</f>
        <v>0</v>
      </c>
      <c r="AL155" s="22">
        <f>IF(AN155=21,J155,0)</f>
        <v>0</v>
      </c>
      <c r="AN155" s="35">
        <v>21</v>
      </c>
      <c r="AO155" s="35">
        <f>G155*1</f>
        <v>0</v>
      </c>
      <c r="AP155" s="35">
        <f>G155*(1-1)</f>
        <v>0</v>
      </c>
      <c r="AQ155" s="32" t="s">
        <v>6</v>
      </c>
      <c r="AV155" s="35">
        <f>AW155+AX155</f>
        <v>0</v>
      </c>
      <c r="AW155" s="35">
        <f>F155*AO155</f>
        <v>0</v>
      </c>
      <c r="AX155" s="35">
        <f>F155*AP155</f>
        <v>0</v>
      </c>
      <c r="AY155" s="36" t="s">
        <v>341</v>
      </c>
      <c r="AZ155" s="36" t="s">
        <v>363</v>
      </c>
      <c r="BA155" s="28" t="s">
        <v>367</v>
      </c>
      <c r="BC155" s="35">
        <f>AW155+AX155</f>
        <v>0</v>
      </c>
      <c r="BD155" s="35">
        <f>G155/(100-BE155)*100</f>
        <v>0</v>
      </c>
      <c r="BE155" s="35">
        <v>0</v>
      </c>
      <c r="BF155" s="35">
        <f>L155</f>
        <v>3.0000000000000004E-05</v>
      </c>
      <c r="BH155" s="22">
        <f>F155*AO155</f>
        <v>0</v>
      </c>
      <c r="BI155" s="22">
        <f>F155*AP155</f>
        <v>0</v>
      </c>
      <c r="BJ155" s="22">
        <f>F155*G155</f>
        <v>0</v>
      </c>
    </row>
    <row r="156" spans="4:6" ht="12.75">
      <c r="D156" s="16" t="s">
        <v>277</v>
      </c>
      <c r="F156" s="21">
        <v>1.5</v>
      </c>
    </row>
    <row r="157" spans="3:13" ht="12.75">
      <c r="C157" s="12" t="s">
        <v>73</v>
      </c>
      <c r="D157" s="98" t="s">
        <v>278</v>
      </c>
      <c r="E157" s="99"/>
      <c r="F157" s="99"/>
      <c r="G157" s="99"/>
      <c r="H157" s="99"/>
      <c r="I157" s="99"/>
      <c r="J157" s="99"/>
      <c r="K157" s="99"/>
      <c r="L157" s="99"/>
      <c r="M157" s="99"/>
    </row>
    <row r="158" spans="1:62" ht="12.75">
      <c r="A158" s="5" t="s">
        <v>56</v>
      </c>
      <c r="B158" s="5" t="s">
        <v>69</v>
      </c>
      <c r="C158" s="5" t="s">
        <v>127</v>
      </c>
      <c r="D158" s="5" t="s">
        <v>279</v>
      </c>
      <c r="E158" s="5" t="s">
        <v>308</v>
      </c>
      <c r="F158" s="22">
        <v>3</v>
      </c>
      <c r="G158" s="130">
        <v>0</v>
      </c>
      <c r="H158" s="22">
        <f>F158*AO158</f>
        <v>0</v>
      </c>
      <c r="I158" s="22">
        <f>F158*AP158</f>
        <v>0</v>
      </c>
      <c r="J158" s="22">
        <f>F158*G158</f>
        <v>0</v>
      </c>
      <c r="K158" s="22">
        <v>0.00046</v>
      </c>
      <c r="L158" s="22">
        <f>F158*K158</f>
        <v>0.0013800000000000002</v>
      </c>
      <c r="M158" s="32" t="s">
        <v>329</v>
      </c>
      <c r="Z158" s="35">
        <f>IF(AQ158="5",BJ158,0)</f>
        <v>0</v>
      </c>
      <c r="AB158" s="35">
        <f>IF(AQ158="1",BH158,0)</f>
        <v>0</v>
      </c>
      <c r="AC158" s="35">
        <f>IF(AQ158="1",BI158,0)</f>
        <v>0</v>
      </c>
      <c r="AD158" s="35">
        <f>IF(AQ158="7",BH158,0)</f>
        <v>0</v>
      </c>
      <c r="AE158" s="35">
        <f>IF(AQ158="7",BI158,0)</f>
        <v>0</v>
      </c>
      <c r="AF158" s="35">
        <f>IF(AQ158="2",BH158,0)</f>
        <v>0</v>
      </c>
      <c r="AG158" s="35">
        <f>IF(AQ158="2",BI158,0)</f>
        <v>0</v>
      </c>
      <c r="AH158" s="35">
        <f>IF(AQ158="0",BJ158,0)</f>
        <v>0</v>
      </c>
      <c r="AI158" s="28" t="s">
        <v>69</v>
      </c>
      <c r="AJ158" s="22">
        <f>IF(AN158=0,J158,0)</f>
        <v>0</v>
      </c>
      <c r="AK158" s="22">
        <f>IF(AN158=15,J158,0)</f>
        <v>0</v>
      </c>
      <c r="AL158" s="22">
        <f>IF(AN158=21,J158,0)</f>
        <v>0</v>
      </c>
      <c r="AN158" s="35">
        <v>21</v>
      </c>
      <c r="AO158" s="35">
        <f>G158*1</f>
        <v>0</v>
      </c>
      <c r="AP158" s="35">
        <f>G158*(1-1)</f>
        <v>0</v>
      </c>
      <c r="AQ158" s="32" t="s">
        <v>6</v>
      </c>
      <c r="AV158" s="35">
        <f>AW158+AX158</f>
        <v>0</v>
      </c>
      <c r="AW158" s="35">
        <f>F158*AO158</f>
        <v>0</v>
      </c>
      <c r="AX158" s="35">
        <f>F158*AP158</f>
        <v>0</v>
      </c>
      <c r="AY158" s="36" t="s">
        <v>341</v>
      </c>
      <c r="AZ158" s="36" t="s">
        <v>363</v>
      </c>
      <c r="BA158" s="28" t="s">
        <v>367</v>
      </c>
      <c r="BC158" s="35">
        <f>AW158+AX158</f>
        <v>0</v>
      </c>
      <c r="BD158" s="35">
        <f>G158/(100-BE158)*100</f>
        <v>0</v>
      </c>
      <c r="BE158" s="35">
        <v>0</v>
      </c>
      <c r="BF158" s="35">
        <f>L158</f>
        <v>0.0013800000000000002</v>
      </c>
      <c r="BH158" s="22">
        <f>F158*AO158</f>
        <v>0</v>
      </c>
      <c r="BI158" s="22">
        <f>F158*AP158</f>
        <v>0</v>
      </c>
      <c r="BJ158" s="22">
        <f>F158*G158</f>
        <v>0</v>
      </c>
    </row>
    <row r="159" spans="3:13" ht="12.75">
      <c r="C159" s="12" t="s">
        <v>73</v>
      </c>
      <c r="D159" s="98" t="s">
        <v>280</v>
      </c>
      <c r="E159" s="99"/>
      <c r="F159" s="99"/>
      <c r="G159" s="99"/>
      <c r="H159" s="99"/>
      <c r="I159" s="99"/>
      <c r="J159" s="99"/>
      <c r="K159" s="99"/>
      <c r="L159" s="99"/>
      <c r="M159" s="99"/>
    </row>
    <row r="160" spans="1:62" ht="12.75">
      <c r="A160" s="5" t="s">
        <v>57</v>
      </c>
      <c r="B160" s="5" t="s">
        <v>69</v>
      </c>
      <c r="C160" s="5" t="s">
        <v>128</v>
      </c>
      <c r="D160" s="5" t="s">
        <v>281</v>
      </c>
      <c r="E160" s="5" t="s">
        <v>308</v>
      </c>
      <c r="F160" s="22">
        <v>3</v>
      </c>
      <c r="G160" s="130">
        <v>0</v>
      </c>
      <c r="H160" s="22">
        <f>F160*AO160</f>
        <v>0</v>
      </c>
      <c r="I160" s="22">
        <f>F160*AP160</f>
        <v>0</v>
      </c>
      <c r="J160" s="22">
        <f>F160*G160</f>
        <v>0</v>
      </c>
      <c r="K160" s="22">
        <v>0.0046</v>
      </c>
      <c r="L160" s="22">
        <f>F160*K160</f>
        <v>0.0138</v>
      </c>
      <c r="M160" s="32" t="s">
        <v>329</v>
      </c>
      <c r="Z160" s="35">
        <f>IF(AQ160="5",BJ160,0)</f>
        <v>0</v>
      </c>
      <c r="AB160" s="35">
        <f>IF(AQ160="1",BH160,0)</f>
        <v>0</v>
      </c>
      <c r="AC160" s="35">
        <f>IF(AQ160="1",BI160,0)</f>
        <v>0</v>
      </c>
      <c r="AD160" s="35">
        <f>IF(AQ160="7",BH160,0)</f>
        <v>0</v>
      </c>
      <c r="AE160" s="35">
        <f>IF(AQ160="7",BI160,0)</f>
        <v>0</v>
      </c>
      <c r="AF160" s="35">
        <f>IF(AQ160="2",BH160,0)</f>
        <v>0</v>
      </c>
      <c r="AG160" s="35">
        <f>IF(AQ160="2",BI160,0)</f>
        <v>0</v>
      </c>
      <c r="AH160" s="35">
        <f>IF(AQ160="0",BJ160,0)</f>
        <v>0</v>
      </c>
      <c r="AI160" s="28" t="s">
        <v>69</v>
      </c>
      <c r="AJ160" s="22">
        <f>IF(AN160=0,J160,0)</f>
        <v>0</v>
      </c>
      <c r="AK160" s="22">
        <f>IF(AN160=15,J160,0)</f>
        <v>0</v>
      </c>
      <c r="AL160" s="22">
        <f>IF(AN160=21,J160,0)</f>
        <v>0</v>
      </c>
      <c r="AN160" s="35">
        <v>21</v>
      </c>
      <c r="AO160" s="35">
        <f>G160*1</f>
        <v>0</v>
      </c>
      <c r="AP160" s="35">
        <f>G160*(1-1)</f>
        <v>0</v>
      </c>
      <c r="AQ160" s="32" t="s">
        <v>6</v>
      </c>
      <c r="AV160" s="35">
        <f>AW160+AX160</f>
        <v>0</v>
      </c>
      <c r="AW160" s="35">
        <f>F160*AO160</f>
        <v>0</v>
      </c>
      <c r="AX160" s="35">
        <f>F160*AP160</f>
        <v>0</v>
      </c>
      <c r="AY160" s="36" t="s">
        <v>341</v>
      </c>
      <c r="AZ160" s="36" t="s">
        <v>363</v>
      </c>
      <c r="BA160" s="28" t="s">
        <v>367</v>
      </c>
      <c r="BC160" s="35">
        <f>AW160+AX160</f>
        <v>0</v>
      </c>
      <c r="BD160" s="35">
        <f>G160/(100-BE160)*100</f>
        <v>0</v>
      </c>
      <c r="BE160" s="35">
        <v>0</v>
      </c>
      <c r="BF160" s="35">
        <f>L160</f>
        <v>0.0138</v>
      </c>
      <c r="BH160" s="22">
        <f>F160*AO160</f>
        <v>0</v>
      </c>
      <c r="BI160" s="22">
        <f>F160*AP160</f>
        <v>0</v>
      </c>
      <c r="BJ160" s="22">
        <f>F160*G160</f>
        <v>0</v>
      </c>
    </row>
    <row r="161" spans="3:13" ht="12.75">
      <c r="C161" s="12" t="s">
        <v>73</v>
      </c>
      <c r="D161" s="98" t="s">
        <v>282</v>
      </c>
      <c r="E161" s="99"/>
      <c r="F161" s="99"/>
      <c r="G161" s="99"/>
      <c r="H161" s="99"/>
      <c r="I161" s="99"/>
      <c r="J161" s="99"/>
      <c r="K161" s="99"/>
      <c r="L161" s="99"/>
      <c r="M161" s="99"/>
    </row>
    <row r="162" spans="1:62" ht="12.75">
      <c r="A162" s="5" t="s">
        <v>58</v>
      </c>
      <c r="B162" s="5" t="s">
        <v>69</v>
      </c>
      <c r="C162" s="5" t="s">
        <v>129</v>
      </c>
      <c r="D162" s="5" t="s">
        <v>283</v>
      </c>
      <c r="E162" s="5" t="s">
        <v>309</v>
      </c>
      <c r="F162" s="22">
        <v>8</v>
      </c>
      <c r="G162" s="130">
        <v>0</v>
      </c>
      <c r="H162" s="22">
        <f>F162*AO162</f>
        <v>0</v>
      </c>
      <c r="I162" s="22">
        <f>F162*AP162</f>
        <v>0</v>
      </c>
      <c r="J162" s="22">
        <f>F162*G162</f>
        <v>0</v>
      </c>
      <c r="K162" s="22">
        <v>0.001</v>
      </c>
      <c r="L162" s="22">
        <f>F162*K162</f>
        <v>0.008</v>
      </c>
      <c r="M162" s="32" t="s">
        <v>329</v>
      </c>
      <c r="Z162" s="35">
        <f>IF(AQ162="5",BJ162,0)</f>
        <v>0</v>
      </c>
      <c r="AB162" s="35">
        <f>IF(AQ162="1",BH162,0)</f>
        <v>0</v>
      </c>
      <c r="AC162" s="35">
        <f>IF(AQ162="1",BI162,0)</f>
        <v>0</v>
      </c>
      <c r="AD162" s="35">
        <f>IF(AQ162="7",BH162,0)</f>
        <v>0</v>
      </c>
      <c r="AE162" s="35">
        <f>IF(AQ162="7",BI162,0)</f>
        <v>0</v>
      </c>
      <c r="AF162" s="35">
        <f>IF(AQ162="2",BH162,0)</f>
        <v>0</v>
      </c>
      <c r="AG162" s="35">
        <f>IF(AQ162="2",BI162,0)</f>
        <v>0</v>
      </c>
      <c r="AH162" s="35">
        <f>IF(AQ162="0",BJ162,0)</f>
        <v>0</v>
      </c>
      <c r="AI162" s="28" t="s">
        <v>69</v>
      </c>
      <c r="AJ162" s="22">
        <f>IF(AN162=0,J162,0)</f>
        <v>0</v>
      </c>
      <c r="AK162" s="22">
        <f>IF(AN162=15,J162,0)</f>
        <v>0</v>
      </c>
      <c r="AL162" s="22">
        <f>IF(AN162=21,J162,0)</f>
        <v>0</v>
      </c>
      <c r="AN162" s="35">
        <v>21</v>
      </c>
      <c r="AO162" s="35">
        <f>G162*1</f>
        <v>0</v>
      </c>
      <c r="AP162" s="35">
        <f>G162*(1-1)</f>
        <v>0</v>
      </c>
      <c r="AQ162" s="32" t="s">
        <v>6</v>
      </c>
      <c r="AV162" s="35">
        <f>AW162+AX162</f>
        <v>0</v>
      </c>
      <c r="AW162" s="35">
        <f>F162*AO162</f>
        <v>0</v>
      </c>
      <c r="AX162" s="35">
        <f>F162*AP162</f>
        <v>0</v>
      </c>
      <c r="AY162" s="36" t="s">
        <v>341</v>
      </c>
      <c r="AZ162" s="36" t="s">
        <v>363</v>
      </c>
      <c r="BA162" s="28" t="s">
        <v>367</v>
      </c>
      <c r="BC162" s="35">
        <f>AW162+AX162</f>
        <v>0</v>
      </c>
      <c r="BD162" s="35">
        <f>G162/(100-BE162)*100</f>
        <v>0</v>
      </c>
      <c r="BE162" s="35">
        <v>0</v>
      </c>
      <c r="BF162" s="35">
        <f>L162</f>
        <v>0.008</v>
      </c>
      <c r="BH162" s="22">
        <f>F162*AO162</f>
        <v>0</v>
      </c>
      <c r="BI162" s="22">
        <f>F162*AP162</f>
        <v>0</v>
      </c>
      <c r="BJ162" s="22">
        <f>F162*G162</f>
        <v>0</v>
      </c>
    </row>
    <row r="163" spans="3:13" ht="12.75">
      <c r="C163" s="12" t="s">
        <v>73</v>
      </c>
      <c r="D163" s="98" t="s">
        <v>284</v>
      </c>
      <c r="E163" s="99"/>
      <c r="F163" s="99"/>
      <c r="G163" s="99"/>
      <c r="H163" s="99"/>
      <c r="I163" s="99"/>
      <c r="J163" s="99"/>
      <c r="K163" s="99"/>
      <c r="L163" s="99"/>
      <c r="M163" s="99"/>
    </row>
    <row r="164" spans="1:62" ht="12.75">
      <c r="A164" s="5" t="s">
        <v>59</v>
      </c>
      <c r="B164" s="5" t="s">
        <v>69</v>
      </c>
      <c r="C164" s="5" t="s">
        <v>130</v>
      </c>
      <c r="D164" s="5" t="s">
        <v>285</v>
      </c>
      <c r="E164" s="5" t="s">
        <v>308</v>
      </c>
      <c r="F164" s="22">
        <v>70</v>
      </c>
      <c r="G164" s="130">
        <v>0</v>
      </c>
      <c r="H164" s="22">
        <f>F164*AO164</f>
        <v>0</v>
      </c>
      <c r="I164" s="22">
        <f>F164*AP164</f>
        <v>0</v>
      </c>
      <c r="J164" s="22">
        <f>F164*G164</f>
        <v>0</v>
      </c>
      <c r="K164" s="22">
        <v>0.006</v>
      </c>
      <c r="L164" s="22">
        <f>F164*K164</f>
        <v>0.42</v>
      </c>
      <c r="M164" s="32" t="s">
        <v>329</v>
      </c>
      <c r="Z164" s="35">
        <f>IF(AQ164="5",BJ164,0)</f>
        <v>0</v>
      </c>
      <c r="AB164" s="35">
        <f>IF(AQ164="1",BH164,0)</f>
        <v>0</v>
      </c>
      <c r="AC164" s="35">
        <f>IF(AQ164="1",BI164,0)</f>
        <v>0</v>
      </c>
      <c r="AD164" s="35">
        <f>IF(AQ164="7",BH164,0)</f>
        <v>0</v>
      </c>
      <c r="AE164" s="35">
        <f>IF(AQ164="7",BI164,0)</f>
        <v>0</v>
      </c>
      <c r="AF164" s="35">
        <f>IF(AQ164="2",BH164,0)</f>
        <v>0</v>
      </c>
      <c r="AG164" s="35">
        <f>IF(AQ164="2",BI164,0)</f>
        <v>0</v>
      </c>
      <c r="AH164" s="35">
        <f>IF(AQ164="0",BJ164,0)</f>
        <v>0</v>
      </c>
      <c r="AI164" s="28" t="s">
        <v>69</v>
      </c>
      <c r="AJ164" s="22">
        <f>IF(AN164=0,J164,0)</f>
        <v>0</v>
      </c>
      <c r="AK164" s="22">
        <f>IF(AN164=15,J164,0)</f>
        <v>0</v>
      </c>
      <c r="AL164" s="22">
        <f>IF(AN164=21,J164,0)</f>
        <v>0</v>
      </c>
      <c r="AN164" s="35">
        <v>21</v>
      </c>
      <c r="AO164" s="35">
        <f>G164*1</f>
        <v>0</v>
      </c>
      <c r="AP164" s="35">
        <f>G164*(1-1)</f>
        <v>0</v>
      </c>
      <c r="AQ164" s="32" t="s">
        <v>6</v>
      </c>
      <c r="AV164" s="35">
        <f>AW164+AX164</f>
        <v>0</v>
      </c>
      <c r="AW164" s="35">
        <f>F164*AO164</f>
        <v>0</v>
      </c>
      <c r="AX164" s="35">
        <f>F164*AP164</f>
        <v>0</v>
      </c>
      <c r="AY164" s="36" t="s">
        <v>341</v>
      </c>
      <c r="AZ164" s="36" t="s">
        <v>363</v>
      </c>
      <c r="BA164" s="28" t="s">
        <v>367</v>
      </c>
      <c r="BC164" s="35">
        <f>AW164+AX164</f>
        <v>0</v>
      </c>
      <c r="BD164" s="35">
        <f>G164/(100-BE164)*100</f>
        <v>0</v>
      </c>
      <c r="BE164" s="35">
        <v>0</v>
      </c>
      <c r="BF164" s="35">
        <f>L164</f>
        <v>0.42</v>
      </c>
      <c r="BH164" s="22">
        <f>F164*AO164</f>
        <v>0</v>
      </c>
      <c r="BI164" s="22">
        <f>F164*AP164</f>
        <v>0</v>
      </c>
      <c r="BJ164" s="22">
        <f>F164*G164</f>
        <v>0</v>
      </c>
    </row>
    <row r="165" spans="4:6" ht="12.75">
      <c r="D165" s="16" t="s">
        <v>286</v>
      </c>
      <c r="F165" s="21">
        <v>40</v>
      </c>
    </row>
    <row r="166" spans="4:6" ht="12.75">
      <c r="D166" s="16" t="s">
        <v>287</v>
      </c>
      <c r="F166" s="21">
        <v>30</v>
      </c>
    </row>
    <row r="167" spans="3:13" ht="12.75">
      <c r="C167" s="12" t="s">
        <v>73</v>
      </c>
      <c r="D167" s="98" t="s">
        <v>288</v>
      </c>
      <c r="E167" s="99"/>
      <c r="F167" s="99"/>
      <c r="G167" s="99"/>
      <c r="H167" s="99"/>
      <c r="I167" s="99"/>
      <c r="J167" s="99"/>
      <c r="K167" s="99"/>
      <c r="L167" s="99"/>
      <c r="M167" s="99"/>
    </row>
    <row r="168" spans="1:62" ht="12.75">
      <c r="A168" s="4" t="s">
        <v>60</v>
      </c>
      <c r="B168" s="4" t="s">
        <v>69</v>
      </c>
      <c r="C168" s="4" t="s">
        <v>131</v>
      </c>
      <c r="D168" s="4" t="s">
        <v>289</v>
      </c>
      <c r="E168" s="4" t="s">
        <v>307</v>
      </c>
      <c r="F168" s="20">
        <v>100</v>
      </c>
      <c r="G168" s="130">
        <v>0</v>
      </c>
      <c r="H168" s="20">
        <f>F168*AO168</f>
        <v>0</v>
      </c>
      <c r="I168" s="20">
        <f>F168*AP168</f>
        <v>0</v>
      </c>
      <c r="J168" s="20">
        <f>F168*G168</f>
        <v>0</v>
      </c>
      <c r="K168" s="20">
        <v>0</v>
      </c>
      <c r="L168" s="20">
        <f>F168*K168</f>
        <v>0</v>
      </c>
      <c r="M168" s="31" t="s">
        <v>329</v>
      </c>
      <c r="Z168" s="35">
        <f>IF(AQ168="5",BJ168,0)</f>
        <v>0</v>
      </c>
      <c r="AB168" s="35">
        <f>IF(AQ168="1",BH168,0)</f>
        <v>0</v>
      </c>
      <c r="AC168" s="35">
        <f>IF(AQ168="1",BI168,0)</f>
        <v>0</v>
      </c>
      <c r="AD168" s="35">
        <f>IF(AQ168="7",BH168,0)</f>
        <v>0</v>
      </c>
      <c r="AE168" s="35">
        <f>IF(AQ168="7",BI168,0)</f>
        <v>0</v>
      </c>
      <c r="AF168" s="35">
        <f>IF(AQ168="2",BH168,0)</f>
        <v>0</v>
      </c>
      <c r="AG168" s="35">
        <f>IF(AQ168="2",BI168,0)</f>
        <v>0</v>
      </c>
      <c r="AH168" s="35">
        <f>IF(AQ168="0",BJ168,0)</f>
        <v>0</v>
      </c>
      <c r="AI168" s="28" t="s">
        <v>69</v>
      </c>
      <c r="AJ168" s="20">
        <f>IF(AN168=0,J168,0)</f>
        <v>0</v>
      </c>
      <c r="AK168" s="20">
        <f>IF(AN168=15,J168,0)</f>
        <v>0</v>
      </c>
      <c r="AL168" s="20">
        <f>IF(AN168=21,J168,0)</f>
        <v>0</v>
      </c>
      <c r="AN168" s="35">
        <v>21</v>
      </c>
      <c r="AO168" s="35">
        <f>G168*0</f>
        <v>0</v>
      </c>
      <c r="AP168" s="35">
        <f>G168*(1-0)</f>
        <v>0</v>
      </c>
      <c r="AQ168" s="31" t="s">
        <v>6</v>
      </c>
      <c r="AV168" s="35">
        <f>AW168+AX168</f>
        <v>0</v>
      </c>
      <c r="AW168" s="35">
        <f>F168*AO168</f>
        <v>0</v>
      </c>
      <c r="AX168" s="35">
        <f>F168*AP168</f>
        <v>0</v>
      </c>
      <c r="AY168" s="36" t="s">
        <v>341</v>
      </c>
      <c r="AZ168" s="36" t="s">
        <v>363</v>
      </c>
      <c r="BA168" s="28" t="s">
        <v>367</v>
      </c>
      <c r="BC168" s="35">
        <f>AW168+AX168</f>
        <v>0</v>
      </c>
      <c r="BD168" s="35">
        <f>G168/(100-BE168)*100</f>
        <v>0</v>
      </c>
      <c r="BE168" s="35">
        <v>0</v>
      </c>
      <c r="BF168" s="35">
        <f>L168</f>
        <v>0</v>
      </c>
      <c r="BH168" s="20">
        <f>F168*AO168</f>
        <v>0</v>
      </c>
      <c r="BI168" s="20">
        <f>F168*AP168</f>
        <v>0</v>
      </c>
      <c r="BJ168" s="20">
        <f>F168*G168</f>
        <v>0</v>
      </c>
    </row>
    <row r="169" spans="4:6" ht="12.75">
      <c r="D169" s="16" t="s">
        <v>290</v>
      </c>
      <c r="F169" s="21">
        <v>100</v>
      </c>
    </row>
    <row r="170" spans="1:62" ht="12.75">
      <c r="A170" s="4" t="s">
        <v>61</v>
      </c>
      <c r="B170" s="4" t="s">
        <v>69</v>
      </c>
      <c r="C170" s="4" t="s">
        <v>132</v>
      </c>
      <c r="D170" s="4" t="s">
        <v>291</v>
      </c>
      <c r="E170" s="4" t="s">
        <v>307</v>
      </c>
      <c r="F170" s="20">
        <v>200</v>
      </c>
      <c r="G170" s="130">
        <v>0</v>
      </c>
      <c r="H170" s="20">
        <f>F170*AO170</f>
        <v>0</v>
      </c>
      <c r="I170" s="20">
        <f>F170*AP170</f>
        <v>0</v>
      </c>
      <c r="J170" s="20">
        <f>F170*G170</f>
        <v>0</v>
      </c>
      <c r="K170" s="20">
        <v>0</v>
      </c>
      <c r="L170" s="20">
        <f>F170*K170</f>
        <v>0</v>
      </c>
      <c r="M170" s="31" t="s">
        <v>329</v>
      </c>
      <c r="Z170" s="35">
        <f>IF(AQ170="5",BJ170,0)</f>
        <v>0</v>
      </c>
      <c r="AB170" s="35">
        <f>IF(AQ170="1",BH170,0)</f>
        <v>0</v>
      </c>
      <c r="AC170" s="35">
        <f>IF(AQ170="1",BI170,0)</f>
        <v>0</v>
      </c>
      <c r="AD170" s="35">
        <f>IF(AQ170="7",BH170,0)</f>
        <v>0</v>
      </c>
      <c r="AE170" s="35">
        <f>IF(AQ170="7",BI170,0)</f>
        <v>0</v>
      </c>
      <c r="AF170" s="35">
        <f>IF(AQ170="2",BH170,0)</f>
        <v>0</v>
      </c>
      <c r="AG170" s="35">
        <f>IF(AQ170="2",BI170,0)</f>
        <v>0</v>
      </c>
      <c r="AH170" s="35">
        <f>IF(AQ170="0",BJ170,0)</f>
        <v>0</v>
      </c>
      <c r="AI170" s="28" t="s">
        <v>69</v>
      </c>
      <c r="AJ170" s="20">
        <f>IF(AN170=0,J170,0)</f>
        <v>0</v>
      </c>
      <c r="AK170" s="20">
        <f>IF(AN170=15,J170,0)</f>
        <v>0</v>
      </c>
      <c r="AL170" s="20">
        <f>IF(AN170=21,J170,0)</f>
        <v>0</v>
      </c>
      <c r="AN170" s="35">
        <v>21</v>
      </c>
      <c r="AO170" s="35">
        <f>G170*0.0125</f>
        <v>0</v>
      </c>
      <c r="AP170" s="35">
        <f>G170*(1-0.0125)</f>
        <v>0</v>
      </c>
      <c r="AQ170" s="31" t="s">
        <v>6</v>
      </c>
      <c r="AV170" s="35">
        <f>AW170+AX170</f>
        <v>0</v>
      </c>
      <c r="AW170" s="35">
        <f>F170*AO170</f>
        <v>0</v>
      </c>
      <c r="AX170" s="35">
        <f>F170*AP170</f>
        <v>0</v>
      </c>
      <c r="AY170" s="36" t="s">
        <v>341</v>
      </c>
      <c r="AZ170" s="36" t="s">
        <v>363</v>
      </c>
      <c r="BA170" s="28" t="s">
        <v>367</v>
      </c>
      <c r="BC170" s="35">
        <f>AW170+AX170</f>
        <v>0</v>
      </c>
      <c r="BD170" s="35">
        <f>G170/(100-BE170)*100</f>
        <v>0</v>
      </c>
      <c r="BE170" s="35">
        <v>0</v>
      </c>
      <c r="BF170" s="35">
        <f>L170</f>
        <v>0</v>
      </c>
      <c r="BH170" s="20">
        <f>F170*AO170</f>
        <v>0</v>
      </c>
      <c r="BI170" s="20">
        <f>F170*AP170</f>
        <v>0</v>
      </c>
      <c r="BJ170" s="20">
        <f>F170*G170</f>
        <v>0</v>
      </c>
    </row>
    <row r="171" spans="4:6" ht="12.75">
      <c r="D171" s="16" t="s">
        <v>292</v>
      </c>
      <c r="F171" s="21">
        <v>200</v>
      </c>
    </row>
    <row r="172" spans="1:62" ht="12.75">
      <c r="A172" s="4" t="s">
        <v>62</v>
      </c>
      <c r="B172" s="4" t="s">
        <v>69</v>
      </c>
      <c r="C172" s="4" t="s">
        <v>133</v>
      </c>
      <c r="D172" s="4" t="s">
        <v>293</v>
      </c>
      <c r="E172" s="4" t="s">
        <v>307</v>
      </c>
      <c r="F172" s="20">
        <v>222</v>
      </c>
      <c r="G172" s="130">
        <v>0</v>
      </c>
      <c r="H172" s="20">
        <f>F172*AO172</f>
        <v>0</v>
      </c>
      <c r="I172" s="20">
        <f>F172*AP172</f>
        <v>0</v>
      </c>
      <c r="J172" s="20">
        <f>F172*G172</f>
        <v>0</v>
      </c>
      <c r="K172" s="20">
        <v>3E-05</v>
      </c>
      <c r="L172" s="20">
        <f>F172*K172</f>
        <v>0.00666</v>
      </c>
      <c r="M172" s="31" t="s">
        <v>329</v>
      </c>
      <c r="Z172" s="35">
        <f>IF(AQ172="5",BJ172,0)</f>
        <v>0</v>
      </c>
      <c r="AB172" s="35">
        <f>IF(AQ172="1",BH172,0)</f>
        <v>0</v>
      </c>
      <c r="AC172" s="35">
        <f>IF(AQ172="1",BI172,0)</f>
        <v>0</v>
      </c>
      <c r="AD172" s="35">
        <f>IF(AQ172="7",BH172,0)</f>
        <v>0</v>
      </c>
      <c r="AE172" s="35">
        <f>IF(AQ172="7",BI172,0)</f>
        <v>0</v>
      </c>
      <c r="AF172" s="35">
        <f>IF(AQ172="2",BH172,0)</f>
        <v>0</v>
      </c>
      <c r="AG172" s="35">
        <f>IF(AQ172="2",BI172,0)</f>
        <v>0</v>
      </c>
      <c r="AH172" s="35">
        <f>IF(AQ172="0",BJ172,0)</f>
        <v>0</v>
      </c>
      <c r="AI172" s="28" t="s">
        <v>69</v>
      </c>
      <c r="AJ172" s="20">
        <f>IF(AN172=0,J172,0)</f>
        <v>0</v>
      </c>
      <c r="AK172" s="20">
        <f>IF(AN172=15,J172,0)</f>
        <v>0</v>
      </c>
      <c r="AL172" s="20">
        <f>IF(AN172=21,J172,0)</f>
        <v>0</v>
      </c>
      <c r="AN172" s="35">
        <v>21</v>
      </c>
      <c r="AO172" s="35">
        <f>G172*0.269496021220159</f>
        <v>0</v>
      </c>
      <c r="AP172" s="35">
        <f>G172*(1-0.269496021220159)</f>
        <v>0</v>
      </c>
      <c r="AQ172" s="31" t="s">
        <v>6</v>
      </c>
      <c r="AV172" s="35">
        <f>AW172+AX172</f>
        <v>0</v>
      </c>
      <c r="AW172" s="35">
        <f>F172*AO172</f>
        <v>0</v>
      </c>
      <c r="AX172" s="35">
        <f>F172*AP172</f>
        <v>0</v>
      </c>
      <c r="AY172" s="36" t="s">
        <v>341</v>
      </c>
      <c r="AZ172" s="36" t="s">
        <v>363</v>
      </c>
      <c r="BA172" s="28" t="s">
        <v>367</v>
      </c>
      <c r="BC172" s="35">
        <f>AW172+AX172</f>
        <v>0</v>
      </c>
      <c r="BD172" s="35">
        <f>G172/(100-BE172)*100</f>
        <v>0</v>
      </c>
      <c r="BE172" s="35">
        <v>0</v>
      </c>
      <c r="BF172" s="35">
        <f>L172</f>
        <v>0.00666</v>
      </c>
      <c r="BH172" s="20">
        <f>F172*AO172</f>
        <v>0</v>
      </c>
      <c r="BI172" s="20">
        <f>F172*AP172</f>
        <v>0</v>
      </c>
      <c r="BJ172" s="20">
        <f>F172*G172</f>
        <v>0</v>
      </c>
    </row>
    <row r="173" spans="3:13" ht="12.75">
      <c r="C173" s="12" t="s">
        <v>73</v>
      </c>
      <c r="D173" s="98" t="s">
        <v>294</v>
      </c>
      <c r="E173" s="99"/>
      <c r="F173" s="99"/>
      <c r="G173" s="99"/>
      <c r="H173" s="99"/>
      <c r="I173" s="99"/>
      <c r="J173" s="99"/>
      <c r="K173" s="99"/>
      <c r="L173" s="99"/>
      <c r="M173" s="99"/>
    </row>
    <row r="174" spans="1:13" s="66" customFormat="1" ht="12.75">
      <c r="A174" s="67"/>
      <c r="B174" s="68" t="s">
        <v>70</v>
      </c>
      <c r="C174" s="68"/>
      <c r="D174" s="68" t="s">
        <v>295</v>
      </c>
      <c r="E174" s="67" t="s">
        <v>5</v>
      </c>
      <c r="F174" s="67" t="s">
        <v>5</v>
      </c>
      <c r="G174" s="67" t="s">
        <v>5</v>
      </c>
      <c r="H174" s="69">
        <f>H175</f>
        <v>0</v>
      </c>
      <c r="I174" s="69">
        <f>I175</f>
        <v>0</v>
      </c>
      <c r="J174" s="69">
        <f>J175</f>
        <v>0</v>
      </c>
      <c r="K174" s="70"/>
      <c r="L174" s="69">
        <f>L175</f>
        <v>6</v>
      </c>
      <c r="M174" s="70"/>
    </row>
    <row r="175" spans="1:47" ht="12.75">
      <c r="A175" s="3"/>
      <c r="B175" s="11" t="s">
        <v>70</v>
      </c>
      <c r="C175" s="11" t="s">
        <v>134</v>
      </c>
      <c r="D175" s="11" t="s">
        <v>296</v>
      </c>
      <c r="E175" s="3" t="s">
        <v>5</v>
      </c>
      <c r="F175" s="3" t="s">
        <v>5</v>
      </c>
      <c r="G175" s="3" t="s">
        <v>5</v>
      </c>
      <c r="H175" s="37">
        <f>SUM(H176:H177)</f>
        <v>0</v>
      </c>
      <c r="I175" s="37">
        <f>SUM(I176:I177)</f>
        <v>0</v>
      </c>
      <c r="J175" s="37">
        <f>SUM(J176:J177)</f>
        <v>0</v>
      </c>
      <c r="K175" s="28"/>
      <c r="L175" s="37">
        <f>SUM(L176:L177)</f>
        <v>6</v>
      </c>
      <c r="M175" s="28"/>
      <c r="AI175" s="28" t="s">
        <v>70</v>
      </c>
      <c r="AS175" s="37">
        <f>SUM(AJ176:AJ177)</f>
        <v>0</v>
      </c>
      <c r="AT175" s="37">
        <f>SUM(AK176:AK177)</f>
        <v>0</v>
      </c>
      <c r="AU175" s="37">
        <f>SUM(AL176:AL177)</f>
        <v>0</v>
      </c>
    </row>
    <row r="176" spans="1:62" ht="12.75">
      <c r="A176" s="4" t="s">
        <v>63</v>
      </c>
      <c r="B176" s="4" t="s">
        <v>70</v>
      </c>
      <c r="C176" s="4" t="s">
        <v>135</v>
      </c>
      <c r="D176" s="4" t="s">
        <v>297</v>
      </c>
      <c r="E176" s="4" t="s">
        <v>310</v>
      </c>
      <c r="F176" s="20">
        <v>1</v>
      </c>
      <c r="G176" s="130">
        <v>0</v>
      </c>
      <c r="H176" s="20">
        <f>F176*AO176</f>
        <v>0</v>
      </c>
      <c r="I176" s="20">
        <f>F176*AP176</f>
        <v>0</v>
      </c>
      <c r="J176" s="20">
        <f>F176*G176</f>
        <v>0</v>
      </c>
      <c r="K176" s="20">
        <v>3</v>
      </c>
      <c r="L176" s="20">
        <f>F176*K176</f>
        <v>3</v>
      </c>
      <c r="M176" s="31"/>
      <c r="Z176" s="35">
        <f>IF(AQ176="5",BJ176,0)</f>
        <v>0</v>
      </c>
      <c r="AB176" s="35">
        <f>IF(AQ176="1",BH176,0)</f>
        <v>0</v>
      </c>
      <c r="AC176" s="35">
        <f>IF(AQ176="1",BI176,0)</f>
        <v>0</v>
      </c>
      <c r="AD176" s="35">
        <f>IF(AQ176="7",BH176,0)</f>
        <v>0</v>
      </c>
      <c r="AE176" s="35">
        <f>IF(AQ176="7",BI176,0)</f>
        <v>0</v>
      </c>
      <c r="AF176" s="35">
        <f>IF(AQ176="2",BH176,0)</f>
        <v>0</v>
      </c>
      <c r="AG176" s="35">
        <f>IF(AQ176="2",BI176,0)</f>
        <v>0</v>
      </c>
      <c r="AH176" s="35">
        <f>IF(AQ176="0",BJ176,0)</f>
        <v>0</v>
      </c>
      <c r="AI176" s="28" t="s">
        <v>70</v>
      </c>
      <c r="AJ176" s="20">
        <f>IF(AN176=0,J176,0)</f>
        <v>0</v>
      </c>
      <c r="AK176" s="20">
        <f>IF(AN176=15,J176,0)</f>
        <v>0</v>
      </c>
      <c r="AL176" s="20">
        <f>IF(AN176=21,J176,0)</f>
        <v>0</v>
      </c>
      <c r="AN176" s="35">
        <v>21</v>
      </c>
      <c r="AO176" s="35">
        <f>G176*0.515463917525773</f>
        <v>0</v>
      </c>
      <c r="AP176" s="35">
        <f>G176*(1-0.515463917525773)</f>
        <v>0</v>
      </c>
      <c r="AQ176" s="31" t="s">
        <v>6</v>
      </c>
      <c r="AV176" s="35">
        <f>AW176+AX176</f>
        <v>0</v>
      </c>
      <c r="AW176" s="35">
        <f>F176*AO176</f>
        <v>0</v>
      </c>
      <c r="AX176" s="35">
        <f>F176*AP176</f>
        <v>0</v>
      </c>
      <c r="AY176" s="36" t="s">
        <v>353</v>
      </c>
      <c r="AZ176" s="36" t="s">
        <v>364</v>
      </c>
      <c r="BA176" s="28" t="s">
        <v>368</v>
      </c>
      <c r="BC176" s="35">
        <f>AW176+AX176</f>
        <v>0</v>
      </c>
      <c r="BD176" s="35">
        <f>G176/(100-BE176)*100</f>
        <v>0</v>
      </c>
      <c r="BE176" s="35">
        <v>0</v>
      </c>
      <c r="BF176" s="35">
        <f>L176</f>
        <v>3</v>
      </c>
      <c r="BH176" s="20">
        <f>F176*AO176</f>
        <v>0</v>
      </c>
      <c r="BI176" s="20">
        <f>F176*AP176</f>
        <v>0</v>
      </c>
      <c r="BJ176" s="20">
        <f>F176*G176</f>
        <v>0</v>
      </c>
    </row>
    <row r="177" spans="1:62" ht="12.75">
      <c r="A177" s="4" t="s">
        <v>64</v>
      </c>
      <c r="B177" s="4" t="s">
        <v>70</v>
      </c>
      <c r="C177" s="4" t="s">
        <v>136</v>
      </c>
      <c r="D177" s="4" t="s">
        <v>428</v>
      </c>
      <c r="E177" s="4" t="s">
        <v>310</v>
      </c>
      <c r="F177" s="20">
        <v>1</v>
      </c>
      <c r="G177" s="130">
        <v>0</v>
      </c>
      <c r="H177" s="20">
        <f>F177*AO177</f>
        <v>0</v>
      </c>
      <c r="I177" s="20">
        <f>F177*AP177</f>
        <v>0</v>
      </c>
      <c r="J177" s="20">
        <f>F177*G177</f>
        <v>0</v>
      </c>
      <c r="K177" s="20">
        <v>3</v>
      </c>
      <c r="L177" s="20">
        <f>F177*K177</f>
        <v>3</v>
      </c>
      <c r="M177" s="31"/>
      <c r="Z177" s="35">
        <f>IF(AQ177="5",BJ177,0)</f>
        <v>0</v>
      </c>
      <c r="AB177" s="35">
        <f>IF(AQ177="1",BH177,0)</f>
        <v>0</v>
      </c>
      <c r="AC177" s="35">
        <f>IF(AQ177="1",BI177,0)</f>
        <v>0</v>
      </c>
      <c r="AD177" s="35">
        <f>IF(AQ177="7",BH177,0)</f>
        <v>0</v>
      </c>
      <c r="AE177" s="35">
        <f>IF(AQ177="7",BI177,0)</f>
        <v>0</v>
      </c>
      <c r="AF177" s="35">
        <f>IF(AQ177="2",BH177,0)</f>
        <v>0</v>
      </c>
      <c r="AG177" s="35">
        <f>IF(AQ177="2",BI177,0)</f>
        <v>0</v>
      </c>
      <c r="AH177" s="35">
        <f>IF(AQ177="0",BJ177,0)</f>
        <v>0</v>
      </c>
      <c r="AI177" s="28" t="s">
        <v>70</v>
      </c>
      <c r="AJ177" s="20">
        <f>IF(AN177=0,J177,0)</f>
        <v>0</v>
      </c>
      <c r="AK177" s="20">
        <f>IF(AN177=15,J177,0)</f>
        <v>0</v>
      </c>
      <c r="AL177" s="20">
        <f>IF(AN177=21,J177,0)</f>
        <v>0</v>
      </c>
      <c r="AN177" s="35">
        <v>21</v>
      </c>
      <c r="AO177" s="35">
        <f>G177*0.568181818181818</f>
        <v>0</v>
      </c>
      <c r="AP177" s="35">
        <f>G177*(1-0.568181818181818)</f>
        <v>0</v>
      </c>
      <c r="AQ177" s="31" t="s">
        <v>6</v>
      </c>
      <c r="AV177" s="35">
        <f>AW177+AX177</f>
        <v>0</v>
      </c>
      <c r="AW177" s="35">
        <f>F177*AO177</f>
        <v>0</v>
      </c>
      <c r="AX177" s="35">
        <f>F177*AP177</f>
        <v>0</v>
      </c>
      <c r="AY177" s="36" t="s">
        <v>353</v>
      </c>
      <c r="AZ177" s="36" t="s">
        <v>364</v>
      </c>
      <c r="BA177" s="28" t="s">
        <v>368</v>
      </c>
      <c r="BC177" s="35">
        <f>AW177+AX177</f>
        <v>0</v>
      </c>
      <c r="BD177" s="35">
        <f>G177/(100-BE177)*100</f>
        <v>0</v>
      </c>
      <c r="BE177" s="35">
        <v>0</v>
      </c>
      <c r="BF177" s="35">
        <f>L177</f>
        <v>3</v>
      </c>
      <c r="BH177" s="20">
        <f>F177*AO177</f>
        <v>0</v>
      </c>
      <c r="BI177" s="20">
        <f>F177*AP177</f>
        <v>0</v>
      </c>
      <c r="BJ177" s="20">
        <f>F177*G177</f>
        <v>0</v>
      </c>
    </row>
    <row r="178" spans="1:13" s="76" customFormat="1" ht="25.5">
      <c r="A178" s="75"/>
      <c r="B178" s="75"/>
      <c r="C178" s="75"/>
      <c r="D178" s="15" t="s">
        <v>298</v>
      </c>
      <c r="E178" s="75">
        <v>1</v>
      </c>
      <c r="F178" s="75"/>
      <c r="G178" s="75"/>
      <c r="H178" s="75"/>
      <c r="I178" s="75"/>
      <c r="J178" s="75"/>
      <c r="K178" s="75"/>
      <c r="L178" s="75"/>
      <c r="M178" s="75"/>
    </row>
    <row r="179" spans="1:13" ht="12.75">
      <c r="A179" s="6"/>
      <c r="B179" s="6"/>
      <c r="C179" s="6"/>
      <c r="D179" s="17" t="s">
        <v>429</v>
      </c>
      <c r="E179" s="6">
        <v>1</v>
      </c>
      <c r="F179" s="6"/>
      <c r="G179" s="6"/>
      <c r="H179" s="6"/>
      <c r="I179" s="6"/>
      <c r="J179" s="6"/>
      <c r="K179" s="6"/>
      <c r="L179" s="6"/>
      <c r="M179" s="6"/>
    </row>
    <row r="180" spans="1:13" ht="12.75">
      <c r="A180" s="7"/>
      <c r="B180" s="7"/>
      <c r="C180" s="7"/>
      <c r="D180" s="7"/>
      <c r="E180" s="7"/>
      <c r="F180" s="7"/>
      <c r="G180" s="7"/>
      <c r="H180" s="102" t="s">
        <v>321</v>
      </c>
      <c r="I180" s="103"/>
      <c r="J180" s="38">
        <f>ROUND(J13+J18+J28+J39+J44+J59+J67+J71+J80+J89+J96+J98+J103+J125+J130+J175,1)</f>
        <v>0</v>
      </c>
      <c r="K180" s="7"/>
      <c r="L180" s="7"/>
      <c r="M180" s="7"/>
    </row>
    <row r="181" ht="11.25" customHeight="1">
      <c r="A181" s="8" t="s">
        <v>65</v>
      </c>
    </row>
    <row r="182" spans="1:13" ht="12.75">
      <c r="A182" s="90"/>
      <c r="B182" s="82"/>
      <c r="C182" s="82"/>
      <c r="D182" s="82"/>
      <c r="E182" s="82"/>
      <c r="F182" s="82"/>
      <c r="G182" s="82"/>
      <c r="H182" s="82"/>
      <c r="I182" s="82"/>
      <c r="J182" s="82"/>
      <c r="K182" s="82"/>
      <c r="L182" s="82"/>
      <c r="M182" s="82"/>
    </row>
  </sheetData>
  <sheetProtection/>
  <mergeCells count="51">
    <mergeCell ref="H180:I180"/>
    <mergeCell ref="A182:M182"/>
    <mergeCell ref="D157:M157"/>
    <mergeCell ref="D159:M159"/>
    <mergeCell ref="D161:M161"/>
    <mergeCell ref="D163:M163"/>
    <mergeCell ref="D167:M167"/>
    <mergeCell ref="D173:M173"/>
    <mergeCell ref="D88:M88"/>
    <mergeCell ref="D100:M100"/>
    <mergeCell ref="D107:M107"/>
    <mergeCell ref="D123:M123"/>
    <mergeCell ref="D128:M128"/>
    <mergeCell ref="D140:M140"/>
    <mergeCell ref="D43:M43"/>
    <mergeCell ref="D48:M48"/>
    <mergeCell ref="D52:M52"/>
    <mergeCell ref="D70:M70"/>
    <mergeCell ref="D75:M75"/>
    <mergeCell ref="D86:M86"/>
    <mergeCell ref="H10:J10"/>
    <mergeCell ref="K10:L10"/>
    <mergeCell ref="D15:M15"/>
    <mergeCell ref="D32:M32"/>
    <mergeCell ref="D37:M37"/>
    <mergeCell ref="D38:M38"/>
    <mergeCell ref="A8:C9"/>
    <mergeCell ref="D8:D9"/>
    <mergeCell ref="E8:F9"/>
    <mergeCell ref="G8:G9"/>
    <mergeCell ref="H8:H9"/>
    <mergeCell ref="I8:M9"/>
    <mergeCell ref="A6:C7"/>
    <mergeCell ref="D6:D7"/>
    <mergeCell ref="E6:F7"/>
    <mergeCell ref="G6:G7"/>
    <mergeCell ref="H6:H7"/>
    <mergeCell ref="I6:M7"/>
    <mergeCell ref="A4:C5"/>
    <mergeCell ref="D4:D5"/>
    <mergeCell ref="E4:F5"/>
    <mergeCell ref="G4:G5"/>
    <mergeCell ref="H4:H5"/>
    <mergeCell ref="I4:M5"/>
    <mergeCell ref="A1:M1"/>
    <mergeCell ref="A2:C3"/>
    <mergeCell ref="D2:D3"/>
    <mergeCell ref="E2:F3"/>
    <mergeCell ref="G2:G3"/>
    <mergeCell ref="H2:H3"/>
    <mergeCell ref="I2:M3"/>
  </mergeCells>
  <printOptions/>
  <pageMargins left="0.394" right="0.394" top="0.591" bottom="0.591" header="0.5" footer="0.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pane ySplit="10" topLeftCell="A11" activePane="bottomLeft" state="frozen"/>
      <selection pane="topLeft" activeCell="A1" sqref="A1"/>
      <selection pane="bottomLeft" activeCell="C32" sqref="C32"/>
    </sheetView>
  </sheetViews>
  <sheetFormatPr defaultColWidth="11.57421875" defaultRowHeight="12.75"/>
  <cols>
    <col min="1" max="2" width="16.57421875" style="0" customWidth="1"/>
    <col min="3" max="3" width="41.7109375" style="0" customWidth="1"/>
    <col min="4" max="4" width="22.140625" style="0" customWidth="1"/>
    <col min="5" max="5" width="21.00390625" style="0" customWidth="1"/>
    <col min="6" max="6" width="20.8515625" style="0" customWidth="1"/>
    <col min="7" max="7" width="19.7109375" style="0" customWidth="1"/>
    <col min="8" max="9" width="0" style="0" hidden="1" customWidth="1"/>
  </cols>
  <sheetData>
    <row r="1" spans="1:7" ht="72.75" customHeight="1">
      <c r="A1" s="77" t="s">
        <v>427</v>
      </c>
      <c r="B1" s="78"/>
      <c r="C1" s="78"/>
      <c r="D1" s="78"/>
      <c r="E1" s="78"/>
      <c r="F1" s="78"/>
      <c r="G1" s="78"/>
    </row>
    <row r="2" spans="1:8" ht="12.75">
      <c r="A2" s="79" t="s">
        <v>0</v>
      </c>
      <c r="B2" s="83" t="str">
        <f>'Stavební rozpočet'!D2</f>
        <v>ZŠ a MŠ Brno, Horní 16, p.o. - vybudování workoutového hřiště</v>
      </c>
      <c r="C2" s="103"/>
      <c r="D2" s="86" t="s">
        <v>315</v>
      </c>
      <c r="E2" s="86" t="str">
        <f>'Stavební rozpočet'!I2</f>
        <v>Statutární město Brno, MČ Brno - střed</v>
      </c>
      <c r="F2" s="80"/>
      <c r="G2" s="87"/>
      <c r="H2" s="33"/>
    </row>
    <row r="3" spans="1:8" ht="12.75">
      <c r="A3" s="81"/>
      <c r="B3" s="84"/>
      <c r="C3" s="84"/>
      <c r="D3" s="82"/>
      <c r="E3" s="82"/>
      <c r="F3" s="82"/>
      <c r="G3" s="88"/>
      <c r="H3" s="33"/>
    </row>
    <row r="4" spans="1:8" ht="12.75">
      <c r="A4" s="89" t="s">
        <v>1</v>
      </c>
      <c r="B4" s="90" t="str">
        <f>'Stavební rozpočet'!D4</f>
        <v> </v>
      </c>
      <c r="C4" s="82"/>
      <c r="D4" s="90" t="s">
        <v>316</v>
      </c>
      <c r="E4" s="90" t="str">
        <f>'Stavební rozpočet'!I4</f>
        <v>Ing. Jitka Vágnerová</v>
      </c>
      <c r="F4" s="82"/>
      <c r="G4" s="88"/>
      <c r="H4" s="33"/>
    </row>
    <row r="5" spans="1:8" ht="12.75">
      <c r="A5" s="81"/>
      <c r="B5" s="82"/>
      <c r="C5" s="82"/>
      <c r="D5" s="82"/>
      <c r="E5" s="82"/>
      <c r="F5" s="82"/>
      <c r="G5" s="88"/>
      <c r="H5" s="33"/>
    </row>
    <row r="6" spans="1:8" ht="12.75">
      <c r="A6" s="89" t="s">
        <v>2</v>
      </c>
      <c r="B6" s="90" t="str">
        <f>'Stavební rozpočet'!D6</f>
        <v> </v>
      </c>
      <c r="C6" s="82"/>
      <c r="D6" s="90" t="s">
        <v>317</v>
      </c>
      <c r="E6" s="90" t="str">
        <f>'Stavební rozpočet'!I6</f>
        <v> </v>
      </c>
      <c r="F6" s="82"/>
      <c r="G6" s="88"/>
      <c r="H6" s="33"/>
    </row>
    <row r="7" spans="1:8" ht="12.75">
      <c r="A7" s="81"/>
      <c r="B7" s="82"/>
      <c r="C7" s="82"/>
      <c r="D7" s="82"/>
      <c r="E7" s="82"/>
      <c r="F7" s="82"/>
      <c r="G7" s="88"/>
      <c r="H7" s="33"/>
    </row>
    <row r="8" spans="1:8" ht="12.75">
      <c r="A8" s="89" t="s">
        <v>318</v>
      </c>
      <c r="B8" s="90" t="str">
        <f>'Stavební rozpočet'!I8</f>
        <v>Ing. Jitka Vágnerová</v>
      </c>
      <c r="C8" s="82"/>
      <c r="D8" s="91" t="s">
        <v>302</v>
      </c>
      <c r="E8" s="90" t="str">
        <f>'Stavební rozpočet'!G8</f>
        <v>11.05.2020</v>
      </c>
      <c r="F8" s="82"/>
      <c r="G8" s="88"/>
      <c r="H8" s="33"/>
    </row>
    <row r="9" spans="1:8" ht="12.75">
      <c r="A9" s="92"/>
      <c r="B9" s="93"/>
      <c r="C9" s="93"/>
      <c r="D9" s="93"/>
      <c r="E9" s="93"/>
      <c r="F9" s="93"/>
      <c r="G9" s="94"/>
      <c r="H9" s="33"/>
    </row>
    <row r="10" spans="1:8" ht="12.75">
      <c r="A10" s="39" t="s">
        <v>66</v>
      </c>
      <c r="B10" s="40" t="s">
        <v>71</v>
      </c>
      <c r="C10" s="41" t="s">
        <v>372</v>
      </c>
      <c r="D10" s="42" t="s">
        <v>373</v>
      </c>
      <c r="E10" s="42" t="s">
        <v>374</v>
      </c>
      <c r="F10" s="42" t="s">
        <v>375</v>
      </c>
      <c r="G10" s="44" t="s">
        <v>376</v>
      </c>
      <c r="H10" s="34"/>
    </row>
    <row r="11" spans="1:9" ht="12.75">
      <c r="A11" s="71" t="s">
        <v>67</v>
      </c>
      <c r="B11" s="71"/>
      <c r="C11" s="71" t="s">
        <v>139</v>
      </c>
      <c r="D11" s="72">
        <f>'Stavební rozpočet'!H12</f>
        <v>0</v>
      </c>
      <c r="E11" s="72">
        <f>'Stavební rozpočet'!I12</f>
        <v>0</v>
      </c>
      <c r="F11" s="72">
        <f>'Stavební rozpočet'!J12</f>
        <v>0</v>
      </c>
      <c r="G11" s="72">
        <f>'Stavební rozpočet'!L12</f>
        <v>68.68465319999999</v>
      </c>
      <c r="H11" s="35" t="s">
        <v>377</v>
      </c>
      <c r="I11" s="35">
        <f aca="true" t="shared" si="0" ref="I11:I30">IF(H11="F",0,F11)</f>
        <v>0</v>
      </c>
    </row>
    <row r="12" spans="1:9" ht="12.75">
      <c r="A12" s="18" t="s">
        <v>67</v>
      </c>
      <c r="B12" s="18" t="s">
        <v>16</v>
      </c>
      <c r="C12" s="18" t="s">
        <v>140</v>
      </c>
      <c r="D12" s="35">
        <f>'Stavební rozpočet'!H13</f>
        <v>0</v>
      </c>
      <c r="E12" s="35">
        <f>'Stavební rozpočet'!I13</f>
        <v>0</v>
      </c>
      <c r="F12" s="35">
        <f>'Stavební rozpočet'!J13</f>
        <v>0</v>
      </c>
      <c r="G12" s="35">
        <f>'Stavební rozpočet'!L13</f>
        <v>2.6149199999999997</v>
      </c>
      <c r="H12" s="35" t="s">
        <v>378</v>
      </c>
      <c r="I12" s="35">
        <f t="shared" si="0"/>
        <v>0</v>
      </c>
    </row>
    <row r="13" spans="1:9" ht="12.75">
      <c r="A13" s="18" t="s">
        <v>67</v>
      </c>
      <c r="B13" s="18" t="s">
        <v>17</v>
      </c>
      <c r="C13" s="18" t="s">
        <v>145</v>
      </c>
      <c r="D13" s="35">
        <f>'Stavební rozpočet'!H18</f>
        <v>0</v>
      </c>
      <c r="E13" s="35">
        <f>'Stavební rozpočet'!I18</f>
        <v>0</v>
      </c>
      <c r="F13" s="35">
        <f>'Stavební rozpočet'!J18</f>
        <v>0</v>
      </c>
      <c r="G13" s="35">
        <f>'Stavební rozpočet'!L18</f>
        <v>0</v>
      </c>
      <c r="H13" s="35" t="s">
        <v>378</v>
      </c>
      <c r="I13" s="35">
        <f t="shared" si="0"/>
        <v>0</v>
      </c>
    </row>
    <row r="14" spans="1:9" ht="12.75">
      <c r="A14" s="18" t="s">
        <v>67</v>
      </c>
      <c r="B14" s="18" t="s">
        <v>23</v>
      </c>
      <c r="C14" s="18" t="s">
        <v>155</v>
      </c>
      <c r="D14" s="35">
        <f>'Stavební rozpočet'!H28</f>
        <v>0</v>
      </c>
      <c r="E14" s="35">
        <f>'Stavební rozpočet'!I28</f>
        <v>0</v>
      </c>
      <c r="F14" s="35">
        <f>'Stavební rozpočet'!J28</f>
        <v>0</v>
      </c>
      <c r="G14" s="35">
        <f>'Stavební rozpočet'!L28</f>
        <v>4.3527</v>
      </c>
      <c r="H14" s="35" t="s">
        <v>378</v>
      </c>
      <c r="I14" s="35">
        <f t="shared" si="0"/>
        <v>0</v>
      </c>
    </row>
    <row r="15" spans="1:9" ht="12.75">
      <c r="A15" s="18" t="s">
        <v>67</v>
      </c>
      <c r="B15" s="18" t="s">
        <v>32</v>
      </c>
      <c r="C15" s="18" t="s">
        <v>166</v>
      </c>
      <c r="D15" s="35">
        <f>'Stavební rozpočet'!H39</f>
        <v>0</v>
      </c>
      <c r="E15" s="35">
        <f>'Stavební rozpočet'!I39</f>
        <v>0</v>
      </c>
      <c r="F15" s="35">
        <f>'Stavební rozpočet'!J39</f>
        <v>0</v>
      </c>
      <c r="G15" s="35">
        <f>'Stavební rozpočet'!L39</f>
        <v>9.4943232</v>
      </c>
      <c r="H15" s="35" t="s">
        <v>378</v>
      </c>
      <c r="I15" s="35">
        <f t="shared" si="0"/>
        <v>0</v>
      </c>
    </row>
    <row r="16" spans="1:9" ht="12.75">
      <c r="A16" s="18" t="s">
        <v>67</v>
      </c>
      <c r="B16" s="18" t="s">
        <v>33</v>
      </c>
      <c r="C16" s="18" t="s">
        <v>171</v>
      </c>
      <c r="D16" s="35">
        <f>'Stavební rozpočet'!H44</f>
        <v>0</v>
      </c>
      <c r="E16" s="35">
        <f>'Stavební rozpočet'!I44</f>
        <v>0</v>
      </c>
      <c r="F16" s="35">
        <f>'Stavební rozpočet'!J44</f>
        <v>0</v>
      </c>
      <c r="G16" s="35">
        <f>'Stavební rozpočet'!L44</f>
        <v>0.208</v>
      </c>
      <c r="H16" s="35" t="s">
        <v>378</v>
      </c>
      <c r="I16" s="35">
        <f t="shared" si="0"/>
        <v>0</v>
      </c>
    </row>
    <row r="17" spans="1:9" ht="12.75">
      <c r="A17" s="18" t="s">
        <v>67</v>
      </c>
      <c r="B17" s="18" t="s">
        <v>50</v>
      </c>
      <c r="C17" s="18" t="s">
        <v>184</v>
      </c>
      <c r="D17" s="35">
        <f>'Stavební rozpočet'!H59</f>
        <v>0</v>
      </c>
      <c r="E17" s="35">
        <f>'Stavební rozpočet'!I59</f>
        <v>0</v>
      </c>
      <c r="F17" s="35">
        <f>'Stavební rozpočet'!J59</f>
        <v>0</v>
      </c>
      <c r="G17" s="35">
        <f>'Stavební rozpočet'!L59</f>
        <v>34.2</v>
      </c>
      <c r="H17" s="35" t="s">
        <v>378</v>
      </c>
      <c r="I17" s="35">
        <f t="shared" si="0"/>
        <v>0</v>
      </c>
    </row>
    <row r="18" spans="1:9" ht="12.75">
      <c r="A18" s="18" t="s">
        <v>67</v>
      </c>
      <c r="B18" s="18" t="s">
        <v>63</v>
      </c>
      <c r="C18" s="18" t="s">
        <v>191</v>
      </c>
      <c r="D18" s="35">
        <f>'Stavební rozpočet'!H67</f>
        <v>0</v>
      </c>
      <c r="E18" s="35">
        <f>'Stavební rozpočet'!I67</f>
        <v>0</v>
      </c>
      <c r="F18" s="35">
        <f>'Stavební rozpočet'!J67</f>
        <v>0</v>
      </c>
      <c r="G18" s="35">
        <f>'Stavební rozpočet'!L67</f>
        <v>0.7225</v>
      </c>
      <c r="H18" s="35" t="s">
        <v>378</v>
      </c>
      <c r="I18" s="35">
        <f t="shared" si="0"/>
        <v>0</v>
      </c>
    </row>
    <row r="19" spans="1:9" ht="12.75">
      <c r="A19" s="18" t="s">
        <v>67</v>
      </c>
      <c r="B19" s="18" t="s">
        <v>64</v>
      </c>
      <c r="C19" s="18" t="s">
        <v>195</v>
      </c>
      <c r="D19" s="35">
        <f>'Stavební rozpočet'!H71</f>
        <v>0</v>
      </c>
      <c r="E19" s="35">
        <f>'Stavební rozpočet'!I71</f>
        <v>0</v>
      </c>
      <c r="F19" s="35">
        <f>'Stavební rozpočet'!J71</f>
        <v>0</v>
      </c>
      <c r="G19" s="35">
        <f>'Stavební rozpočet'!L71</f>
        <v>5.255459999999999</v>
      </c>
      <c r="H19" s="35" t="s">
        <v>378</v>
      </c>
      <c r="I19" s="35">
        <f t="shared" si="0"/>
        <v>0</v>
      </c>
    </row>
    <row r="20" spans="1:9" ht="12.75">
      <c r="A20" s="18" t="s">
        <v>67</v>
      </c>
      <c r="B20" s="18" t="s">
        <v>91</v>
      </c>
      <c r="C20" s="18" t="s">
        <v>202</v>
      </c>
      <c r="D20" s="35">
        <f>'Stavební rozpočet'!H80</f>
        <v>0</v>
      </c>
      <c r="E20" s="35">
        <f>'Stavební rozpočet'!I80</f>
        <v>0</v>
      </c>
      <c r="F20" s="35">
        <f>'Stavební rozpočet'!J80</f>
        <v>0</v>
      </c>
      <c r="G20" s="35">
        <f>'Stavební rozpočet'!L80</f>
        <v>9.525749999999999</v>
      </c>
      <c r="H20" s="35" t="s">
        <v>378</v>
      </c>
      <c r="I20" s="35">
        <f t="shared" si="0"/>
        <v>0</v>
      </c>
    </row>
    <row r="21" spans="1:9" ht="12.75">
      <c r="A21" s="18" t="s">
        <v>67</v>
      </c>
      <c r="B21" s="18" t="s">
        <v>94</v>
      </c>
      <c r="C21" s="18" t="s">
        <v>211</v>
      </c>
      <c r="D21" s="35">
        <f>'Stavební rozpočet'!H89</f>
        <v>0</v>
      </c>
      <c r="E21" s="35">
        <f>'Stavební rozpočet'!I89</f>
        <v>0</v>
      </c>
      <c r="F21" s="35">
        <f>'Stavební rozpočet'!J89</f>
        <v>0</v>
      </c>
      <c r="G21" s="35">
        <f>'Stavební rozpočet'!L89</f>
        <v>2.311</v>
      </c>
      <c r="H21" s="35" t="s">
        <v>378</v>
      </c>
      <c r="I21" s="35">
        <f t="shared" si="0"/>
        <v>0</v>
      </c>
    </row>
    <row r="22" spans="1:9" ht="12.75">
      <c r="A22" s="73" t="s">
        <v>68</v>
      </c>
      <c r="B22" s="73"/>
      <c r="C22" s="73" t="s">
        <v>217</v>
      </c>
      <c r="D22" s="74">
        <f>'Stavební rozpočet'!H95</f>
        <v>0</v>
      </c>
      <c r="E22" s="74">
        <f>'Stavební rozpočet'!I95</f>
        <v>0</v>
      </c>
      <c r="F22" s="74">
        <f>'Stavební rozpočet'!J95</f>
        <v>0</v>
      </c>
      <c r="G22" s="74">
        <f>'Stavební rozpočet'!L95</f>
        <v>3.4705000000000004</v>
      </c>
      <c r="H22" s="35" t="s">
        <v>377</v>
      </c>
      <c r="I22" s="35">
        <f t="shared" si="0"/>
        <v>0</v>
      </c>
    </row>
    <row r="23" spans="1:9" ht="12.75">
      <c r="A23" s="18" t="s">
        <v>68</v>
      </c>
      <c r="B23" s="18" t="s">
        <v>18</v>
      </c>
      <c r="C23" s="18" t="s">
        <v>218</v>
      </c>
      <c r="D23" s="35">
        <f>'Stavební rozpočet'!H96</f>
        <v>0</v>
      </c>
      <c r="E23" s="35">
        <f>'Stavební rozpočet'!I96</f>
        <v>0</v>
      </c>
      <c r="F23" s="35">
        <f>'Stavební rozpočet'!J96</f>
        <v>0</v>
      </c>
      <c r="G23" s="35">
        <f>'Stavební rozpočet'!L96</f>
        <v>0</v>
      </c>
      <c r="H23" s="35" t="s">
        <v>378</v>
      </c>
      <c r="I23" s="35">
        <f t="shared" si="0"/>
        <v>0</v>
      </c>
    </row>
    <row r="24" spans="1:9" ht="12.75">
      <c r="A24" s="18" t="s">
        <v>68</v>
      </c>
      <c r="B24" s="18" t="s">
        <v>38</v>
      </c>
      <c r="C24" s="18" t="s">
        <v>220</v>
      </c>
      <c r="D24" s="35">
        <f>'Stavební rozpočet'!H98</f>
        <v>0</v>
      </c>
      <c r="E24" s="35">
        <f>'Stavební rozpočet'!I98</f>
        <v>0</v>
      </c>
      <c r="F24" s="35">
        <f>'Stavební rozpočet'!J98</f>
        <v>0</v>
      </c>
      <c r="G24" s="35">
        <f>'Stavební rozpočet'!L98</f>
        <v>2.8200000000000003</v>
      </c>
      <c r="H24" s="35" t="s">
        <v>378</v>
      </c>
      <c r="I24" s="35">
        <f t="shared" si="0"/>
        <v>0</v>
      </c>
    </row>
    <row r="25" spans="1:9" ht="12.75">
      <c r="A25" s="18" t="s">
        <v>68</v>
      </c>
      <c r="B25" s="18" t="s">
        <v>102</v>
      </c>
      <c r="C25" s="18" t="s">
        <v>225</v>
      </c>
      <c r="D25" s="35">
        <f>'Stavební rozpočet'!H103</f>
        <v>0</v>
      </c>
      <c r="E25" s="35">
        <f>'Stavební rozpočet'!I103</f>
        <v>0</v>
      </c>
      <c r="F25" s="35">
        <f>'Stavební rozpočet'!J103</f>
        <v>0</v>
      </c>
      <c r="G25" s="35">
        <f>'Stavební rozpočet'!L103</f>
        <v>0.6461</v>
      </c>
      <c r="H25" s="35" t="s">
        <v>378</v>
      </c>
      <c r="I25" s="35">
        <f t="shared" si="0"/>
        <v>0</v>
      </c>
    </row>
    <row r="26" spans="1:9" ht="12.75">
      <c r="A26" s="18" t="s">
        <v>68</v>
      </c>
      <c r="B26" s="18" t="s">
        <v>111</v>
      </c>
      <c r="C26" s="18" t="s">
        <v>247</v>
      </c>
      <c r="D26" s="35">
        <f>'Stavební rozpočet'!H125</f>
        <v>0</v>
      </c>
      <c r="E26" s="35">
        <f>'Stavební rozpočet'!I125</f>
        <v>0</v>
      </c>
      <c r="F26" s="35">
        <f>'Stavební rozpočet'!J125</f>
        <v>0</v>
      </c>
      <c r="G26" s="35">
        <f>'Stavební rozpočet'!L125</f>
        <v>0.0044</v>
      </c>
      <c r="H26" s="35" t="s">
        <v>378</v>
      </c>
      <c r="I26" s="35">
        <f t="shared" si="0"/>
        <v>0</v>
      </c>
    </row>
    <row r="27" spans="1:9" ht="12.75">
      <c r="A27" s="73" t="s">
        <v>69</v>
      </c>
      <c r="B27" s="73"/>
      <c r="C27" s="73" t="s">
        <v>251</v>
      </c>
      <c r="D27" s="74">
        <f>'Stavební rozpočet'!H129</f>
        <v>0</v>
      </c>
      <c r="E27" s="74">
        <f>'Stavební rozpočet'!I129</f>
        <v>0</v>
      </c>
      <c r="F27" s="74">
        <f>'Stavební rozpočet'!J129</f>
        <v>0</v>
      </c>
      <c r="G27" s="74">
        <f>'Stavební rozpočet'!L129</f>
        <v>0.47485</v>
      </c>
      <c r="H27" s="35" t="s">
        <v>377</v>
      </c>
      <c r="I27" s="35">
        <f t="shared" si="0"/>
        <v>0</v>
      </c>
    </row>
    <row r="28" spans="1:9" ht="12.75">
      <c r="A28" s="18" t="s">
        <v>69</v>
      </c>
      <c r="B28" s="18" t="s">
        <v>23</v>
      </c>
      <c r="C28" s="18" t="s">
        <v>155</v>
      </c>
      <c r="D28" s="35">
        <f>'Stavební rozpočet'!H130</f>
        <v>0</v>
      </c>
      <c r="E28" s="35">
        <f>'Stavební rozpočet'!I130</f>
        <v>0</v>
      </c>
      <c r="F28" s="35">
        <f>'Stavební rozpočet'!J130</f>
        <v>0</v>
      </c>
      <c r="G28" s="35">
        <f>'Stavební rozpočet'!L130</f>
        <v>0.47485</v>
      </c>
      <c r="H28" s="35" t="s">
        <v>378</v>
      </c>
      <c r="I28" s="35">
        <f t="shared" si="0"/>
        <v>0</v>
      </c>
    </row>
    <row r="29" spans="1:9" ht="12.75">
      <c r="A29" s="73" t="s">
        <v>70</v>
      </c>
      <c r="B29" s="73"/>
      <c r="C29" s="73" t="s">
        <v>295</v>
      </c>
      <c r="D29" s="74">
        <f>'Stavební rozpočet'!H174</f>
        <v>0</v>
      </c>
      <c r="E29" s="74">
        <f>'Stavební rozpočet'!I174</f>
        <v>0</v>
      </c>
      <c r="F29" s="74">
        <f>'Stavební rozpočet'!J174</f>
        <v>0</v>
      </c>
      <c r="G29" s="74">
        <f>'Stavební rozpočet'!L174</f>
        <v>6</v>
      </c>
      <c r="H29" s="35" t="s">
        <v>377</v>
      </c>
      <c r="I29" s="35">
        <f t="shared" si="0"/>
        <v>0</v>
      </c>
    </row>
    <row r="30" spans="1:9" ht="12.75">
      <c r="A30" s="18" t="s">
        <v>70</v>
      </c>
      <c r="B30" s="18" t="s">
        <v>134</v>
      </c>
      <c r="C30" s="18" t="s">
        <v>296</v>
      </c>
      <c r="D30" s="35">
        <f>'Stavební rozpočet'!H175</f>
        <v>0</v>
      </c>
      <c r="E30" s="35">
        <f>'Stavební rozpočet'!I175</f>
        <v>0</v>
      </c>
      <c r="F30" s="35">
        <f>'Stavební rozpočet'!J175</f>
        <v>0</v>
      </c>
      <c r="G30" s="35">
        <f>'Stavební rozpočet'!L175</f>
        <v>6</v>
      </c>
      <c r="H30" s="35" t="s">
        <v>378</v>
      </c>
      <c r="I30" s="35">
        <f t="shared" si="0"/>
        <v>0</v>
      </c>
    </row>
    <row r="32" spans="5:6" ht="12.75">
      <c r="E32" s="43" t="s">
        <v>321</v>
      </c>
      <c r="F32" s="45">
        <f>ROUND(SUM(I11:I30),1)</f>
        <v>0</v>
      </c>
    </row>
  </sheetData>
  <sheetProtection/>
  <mergeCells count="17">
    <mergeCell ref="A6:A7"/>
    <mergeCell ref="B6:C7"/>
    <mergeCell ref="D6:D7"/>
    <mergeCell ref="E6:G7"/>
    <mergeCell ref="A8:A9"/>
    <mergeCell ref="B8:C9"/>
    <mergeCell ref="D8:D9"/>
    <mergeCell ref="E8:G9"/>
    <mergeCell ref="A1:G1"/>
    <mergeCell ref="A2:A3"/>
    <mergeCell ref="B2:C3"/>
    <mergeCell ref="D2:D3"/>
    <mergeCell ref="E2:G3"/>
    <mergeCell ref="A4:A5"/>
    <mergeCell ref="B4:C5"/>
    <mergeCell ref="D4:D5"/>
    <mergeCell ref="E4:G5"/>
  </mergeCells>
  <printOptions/>
  <pageMargins left="0.394" right="0.394" top="0.591" bottom="0.591" header="0.5" footer="0.5"/>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K18" sqref="K18"/>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61"/>
      <c r="B1" s="6"/>
      <c r="C1" s="104" t="s">
        <v>426</v>
      </c>
      <c r="D1" s="78"/>
      <c r="E1" s="78"/>
      <c r="F1" s="78"/>
      <c r="G1" s="78"/>
      <c r="H1" s="78"/>
      <c r="I1" s="78"/>
    </row>
    <row r="2" spans="1:10" ht="12.75">
      <c r="A2" s="79" t="s">
        <v>0</v>
      </c>
      <c r="B2" s="80"/>
      <c r="C2" s="83" t="str">
        <f>'Stavební rozpočet'!D2</f>
        <v>ZŠ a MŠ Brno, Horní 16, p.o. - vybudování workoutového hřiště</v>
      </c>
      <c r="D2" s="103"/>
      <c r="E2" s="86" t="s">
        <v>315</v>
      </c>
      <c r="F2" s="86" t="str">
        <f>'Stavební rozpočet'!I2</f>
        <v>Statutární město Brno, MČ Brno - střed</v>
      </c>
      <c r="G2" s="80"/>
      <c r="H2" s="86" t="s">
        <v>418</v>
      </c>
      <c r="I2" s="105"/>
      <c r="J2" s="33"/>
    </row>
    <row r="3" spans="1:10" ht="12.75">
      <c r="A3" s="81"/>
      <c r="B3" s="82"/>
      <c r="C3" s="84"/>
      <c r="D3" s="84"/>
      <c r="E3" s="82"/>
      <c r="F3" s="82"/>
      <c r="G3" s="82"/>
      <c r="H3" s="82"/>
      <c r="I3" s="88"/>
      <c r="J3" s="33"/>
    </row>
    <row r="4" spans="1:10" ht="12.75">
      <c r="A4" s="89" t="s">
        <v>1</v>
      </c>
      <c r="B4" s="82"/>
      <c r="C4" s="90" t="str">
        <f>'Stavební rozpočet'!D4</f>
        <v> </v>
      </c>
      <c r="D4" s="82"/>
      <c r="E4" s="90" t="s">
        <v>316</v>
      </c>
      <c r="F4" s="90" t="str">
        <f>'Stavební rozpočet'!I4</f>
        <v>Ing. Jitka Vágnerová</v>
      </c>
      <c r="G4" s="82"/>
      <c r="H4" s="90" t="s">
        <v>418</v>
      </c>
      <c r="I4" s="106"/>
      <c r="J4" s="33"/>
    </row>
    <row r="5" spans="1:10" ht="12.75">
      <c r="A5" s="81"/>
      <c r="B5" s="82"/>
      <c r="C5" s="82"/>
      <c r="D5" s="82"/>
      <c r="E5" s="82"/>
      <c r="F5" s="82"/>
      <c r="G5" s="82"/>
      <c r="H5" s="82"/>
      <c r="I5" s="88"/>
      <c r="J5" s="33"/>
    </row>
    <row r="6" spans="1:10" ht="12.75">
      <c r="A6" s="89" t="s">
        <v>2</v>
      </c>
      <c r="B6" s="82"/>
      <c r="C6" s="90" t="str">
        <f>'Stavební rozpočet'!D6</f>
        <v> </v>
      </c>
      <c r="D6" s="82"/>
      <c r="E6" s="90" t="s">
        <v>317</v>
      </c>
      <c r="F6" s="90" t="str">
        <f>'Stavební rozpočet'!I6</f>
        <v> </v>
      </c>
      <c r="G6" s="82"/>
      <c r="H6" s="90" t="s">
        <v>418</v>
      </c>
      <c r="I6" s="106"/>
      <c r="J6" s="33"/>
    </row>
    <row r="7" spans="1:10" ht="12.75">
      <c r="A7" s="81"/>
      <c r="B7" s="82"/>
      <c r="C7" s="82"/>
      <c r="D7" s="82"/>
      <c r="E7" s="82"/>
      <c r="F7" s="82"/>
      <c r="G7" s="82"/>
      <c r="H7" s="82"/>
      <c r="I7" s="88"/>
      <c r="J7" s="33"/>
    </row>
    <row r="8" spans="1:10" ht="12.75">
      <c r="A8" s="89" t="s">
        <v>300</v>
      </c>
      <c r="B8" s="82"/>
      <c r="C8" s="90">
        <f>'Stavební rozpočet'!G4</f>
        <v>0</v>
      </c>
      <c r="D8" s="82"/>
      <c r="E8" s="90" t="s">
        <v>301</v>
      </c>
      <c r="F8" s="90" t="str">
        <f>'Stavební rozpočet'!G6</f>
        <v> </v>
      </c>
      <c r="G8" s="82"/>
      <c r="H8" s="91" t="s">
        <v>419</v>
      </c>
      <c r="I8" s="106" t="s">
        <v>64</v>
      </c>
      <c r="J8" s="33"/>
    </row>
    <row r="9" spans="1:10" ht="12.75">
      <c r="A9" s="81"/>
      <c r="B9" s="82"/>
      <c r="C9" s="82"/>
      <c r="D9" s="82"/>
      <c r="E9" s="82"/>
      <c r="F9" s="82"/>
      <c r="G9" s="82"/>
      <c r="H9" s="82"/>
      <c r="I9" s="88"/>
      <c r="J9" s="33"/>
    </row>
    <row r="10" spans="1:10" ht="12.75">
      <c r="A10" s="89" t="s">
        <v>3</v>
      </c>
      <c r="B10" s="82"/>
      <c r="C10" s="90" t="str">
        <f>'Stavební rozpočet'!D8</f>
        <v> </v>
      </c>
      <c r="D10" s="82"/>
      <c r="E10" s="90" t="s">
        <v>318</v>
      </c>
      <c r="F10" s="90" t="str">
        <f>'Stavební rozpočet'!I8</f>
        <v>Ing. Jitka Vágnerová</v>
      </c>
      <c r="G10" s="82"/>
      <c r="H10" s="91" t="s">
        <v>420</v>
      </c>
      <c r="I10" s="109" t="str">
        <f>'Stavební rozpočet'!G8</f>
        <v>11.05.2020</v>
      </c>
      <c r="J10" s="33"/>
    </row>
    <row r="11" spans="1:10" ht="12.75">
      <c r="A11" s="107"/>
      <c r="B11" s="108"/>
      <c r="C11" s="108"/>
      <c r="D11" s="108"/>
      <c r="E11" s="108"/>
      <c r="F11" s="108"/>
      <c r="G11" s="108"/>
      <c r="H11" s="108"/>
      <c r="I11" s="110"/>
      <c r="J11" s="33"/>
    </row>
    <row r="12" spans="1:9" ht="23.25" customHeight="1">
      <c r="A12" s="111" t="s">
        <v>379</v>
      </c>
      <c r="B12" s="112"/>
      <c r="C12" s="112"/>
      <c r="D12" s="112"/>
      <c r="E12" s="112"/>
      <c r="F12" s="112"/>
      <c r="G12" s="112"/>
      <c r="H12" s="112"/>
      <c r="I12" s="112"/>
    </row>
    <row r="13" spans="1:10" ht="26.25" customHeight="1">
      <c r="A13" s="46" t="s">
        <v>380</v>
      </c>
      <c r="B13" s="113" t="s">
        <v>392</v>
      </c>
      <c r="C13" s="114"/>
      <c r="D13" s="46" t="s">
        <v>394</v>
      </c>
      <c r="E13" s="113" t="s">
        <v>403</v>
      </c>
      <c r="F13" s="114"/>
      <c r="G13" s="46" t="s">
        <v>404</v>
      </c>
      <c r="H13" s="113" t="s">
        <v>421</v>
      </c>
      <c r="I13" s="114"/>
      <c r="J13" s="33"/>
    </row>
    <row r="14" spans="1:10" ht="15" customHeight="1">
      <c r="A14" s="47" t="s">
        <v>381</v>
      </c>
      <c r="B14" s="51" t="s">
        <v>393</v>
      </c>
      <c r="C14" s="55">
        <f>SUM('Stavební rozpočet'!AB12:AB179)</f>
        <v>0</v>
      </c>
      <c r="D14" s="115" t="s">
        <v>395</v>
      </c>
      <c r="E14" s="116"/>
      <c r="F14" s="55">
        <v>0</v>
      </c>
      <c r="G14" s="115" t="s">
        <v>405</v>
      </c>
      <c r="H14" s="116"/>
      <c r="I14" s="55">
        <v>0</v>
      </c>
      <c r="J14" s="33"/>
    </row>
    <row r="15" spans="1:10" ht="15" customHeight="1">
      <c r="A15" s="48"/>
      <c r="B15" s="51" t="s">
        <v>323</v>
      </c>
      <c r="C15" s="55">
        <f>SUM('Stavební rozpočet'!AC12:AC179)</f>
        <v>0</v>
      </c>
      <c r="D15" s="115" t="s">
        <v>396</v>
      </c>
      <c r="E15" s="116"/>
      <c r="F15" s="55">
        <v>0</v>
      </c>
      <c r="G15" s="115" t="s">
        <v>406</v>
      </c>
      <c r="H15" s="116"/>
      <c r="I15" s="55">
        <v>0</v>
      </c>
      <c r="J15" s="33"/>
    </row>
    <row r="16" spans="1:10" ht="15" customHeight="1">
      <c r="A16" s="47" t="s">
        <v>382</v>
      </c>
      <c r="B16" s="51" t="s">
        <v>393</v>
      </c>
      <c r="C16" s="55">
        <f>SUM('Stavební rozpočet'!AD12:AD179)</f>
        <v>0</v>
      </c>
      <c r="D16" s="115" t="s">
        <v>397</v>
      </c>
      <c r="E16" s="116"/>
      <c r="F16" s="55">
        <v>0</v>
      </c>
      <c r="G16" s="115" t="s">
        <v>407</v>
      </c>
      <c r="H16" s="116"/>
      <c r="I16" s="55">
        <v>0</v>
      </c>
      <c r="J16" s="33"/>
    </row>
    <row r="17" spans="1:10" ht="15" customHeight="1">
      <c r="A17" s="48"/>
      <c r="B17" s="51" t="s">
        <v>323</v>
      </c>
      <c r="C17" s="55">
        <f>SUM('Stavební rozpočet'!AE12:AE179)</f>
        <v>0</v>
      </c>
      <c r="D17" s="115"/>
      <c r="E17" s="116"/>
      <c r="F17" s="56"/>
      <c r="G17" s="115" t="s">
        <v>408</v>
      </c>
      <c r="H17" s="116"/>
      <c r="I17" s="55">
        <v>0</v>
      </c>
      <c r="J17" s="33"/>
    </row>
    <row r="18" spans="1:10" ht="15" customHeight="1">
      <c r="A18" s="47" t="s">
        <v>383</v>
      </c>
      <c r="B18" s="51" t="s">
        <v>393</v>
      </c>
      <c r="C18" s="55">
        <f>SUM('Stavební rozpočet'!AF12:AF179)</f>
        <v>0</v>
      </c>
      <c r="D18" s="115"/>
      <c r="E18" s="116"/>
      <c r="F18" s="56"/>
      <c r="G18" s="115" t="s">
        <v>409</v>
      </c>
      <c r="H18" s="116"/>
      <c r="I18" s="55">
        <v>0</v>
      </c>
      <c r="J18" s="33"/>
    </row>
    <row r="19" spans="1:10" ht="15" customHeight="1">
      <c r="A19" s="48"/>
      <c r="B19" s="51" t="s">
        <v>323</v>
      </c>
      <c r="C19" s="55">
        <f>SUM('Stavební rozpočet'!AG12:AG179)</f>
        <v>0</v>
      </c>
      <c r="D19" s="115"/>
      <c r="E19" s="116"/>
      <c r="F19" s="56"/>
      <c r="G19" s="115" t="s">
        <v>410</v>
      </c>
      <c r="H19" s="116"/>
      <c r="I19" s="55">
        <v>0</v>
      </c>
      <c r="J19" s="33"/>
    </row>
    <row r="20" spans="1:10" ht="15" customHeight="1">
      <c r="A20" s="117" t="s">
        <v>384</v>
      </c>
      <c r="B20" s="118"/>
      <c r="C20" s="55">
        <f>SUM('Stavební rozpočet'!AH12:AH179)</f>
        <v>0</v>
      </c>
      <c r="D20" s="115"/>
      <c r="E20" s="116"/>
      <c r="F20" s="56"/>
      <c r="G20" s="115"/>
      <c r="H20" s="116"/>
      <c r="I20" s="56"/>
      <c r="J20" s="33"/>
    </row>
    <row r="21" spans="1:10" ht="15" customHeight="1">
      <c r="A21" s="117" t="s">
        <v>385</v>
      </c>
      <c r="B21" s="118"/>
      <c r="C21" s="55">
        <f>SUM('Stavební rozpočet'!Z12:Z179)</f>
        <v>0</v>
      </c>
      <c r="D21" s="115"/>
      <c r="E21" s="116"/>
      <c r="F21" s="56"/>
      <c r="G21" s="115"/>
      <c r="H21" s="116"/>
      <c r="I21" s="56"/>
      <c r="J21" s="33"/>
    </row>
    <row r="22" spans="1:10" ht="16.5" customHeight="1">
      <c r="A22" s="117" t="s">
        <v>386</v>
      </c>
      <c r="B22" s="118"/>
      <c r="C22" s="55">
        <f>ROUND(SUM(C14:C21),1)</f>
        <v>0</v>
      </c>
      <c r="D22" s="117" t="s">
        <v>398</v>
      </c>
      <c r="E22" s="118"/>
      <c r="F22" s="55">
        <f>SUM(F14:F21)</f>
        <v>0</v>
      </c>
      <c r="G22" s="117" t="s">
        <v>411</v>
      </c>
      <c r="H22" s="118"/>
      <c r="I22" s="55">
        <f>SUM(I14:I21)</f>
        <v>0</v>
      </c>
      <c r="J22" s="33"/>
    </row>
    <row r="23" spans="1:10" ht="15" customHeight="1">
      <c r="A23" s="7"/>
      <c r="B23" s="7"/>
      <c r="C23" s="53"/>
      <c r="D23" s="117" t="s">
        <v>399</v>
      </c>
      <c r="E23" s="118"/>
      <c r="F23" s="57">
        <v>0</v>
      </c>
      <c r="G23" s="117" t="s">
        <v>412</v>
      </c>
      <c r="H23" s="118"/>
      <c r="I23" s="55">
        <v>0</v>
      </c>
      <c r="J23" s="33"/>
    </row>
    <row r="24" spans="4:10" ht="15" customHeight="1">
      <c r="D24" s="7"/>
      <c r="E24" s="7"/>
      <c r="F24" s="58"/>
      <c r="G24" s="117" t="s">
        <v>413</v>
      </c>
      <c r="H24" s="118"/>
      <c r="I24" s="55">
        <v>0</v>
      </c>
      <c r="J24" s="33"/>
    </row>
    <row r="25" spans="6:10" ht="15" customHeight="1">
      <c r="F25" s="59"/>
      <c r="G25" s="117" t="s">
        <v>414</v>
      </c>
      <c r="H25" s="118"/>
      <c r="I25" s="55">
        <v>0</v>
      </c>
      <c r="J25" s="33"/>
    </row>
    <row r="26" spans="1:9" ht="12.75">
      <c r="A26" s="6"/>
      <c r="B26" s="6"/>
      <c r="C26" s="6"/>
      <c r="G26" s="7"/>
      <c r="H26" s="7"/>
      <c r="I26" s="7"/>
    </row>
    <row r="27" spans="1:9" ht="15" customHeight="1">
      <c r="A27" s="119" t="s">
        <v>387</v>
      </c>
      <c r="B27" s="120"/>
      <c r="C27" s="60">
        <f>ROUND(SUM('Stavební rozpočet'!AJ12:AJ179),1)</f>
        <v>0</v>
      </c>
      <c r="D27" s="54"/>
      <c r="E27" s="6"/>
      <c r="F27" s="6"/>
      <c r="G27" s="6"/>
      <c r="H27" s="6"/>
      <c r="I27" s="6"/>
    </row>
    <row r="28" spans="1:10" ht="15" customHeight="1">
      <c r="A28" s="119" t="s">
        <v>388</v>
      </c>
      <c r="B28" s="120"/>
      <c r="C28" s="60">
        <f>ROUND(SUM('Stavební rozpočet'!AK12:AK179),1)</f>
        <v>0</v>
      </c>
      <c r="D28" s="119" t="s">
        <v>400</v>
      </c>
      <c r="E28" s="120"/>
      <c r="F28" s="60">
        <f>ROUND(C28*(15/100),2)</f>
        <v>0</v>
      </c>
      <c r="G28" s="119" t="s">
        <v>415</v>
      </c>
      <c r="H28" s="120"/>
      <c r="I28" s="60">
        <f>ROUND(SUM(C27:C29),1)</f>
        <v>0</v>
      </c>
      <c r="J28" s="33"/>
    </row>
    <row r="29" spans="1:10" ht="15" customHeight="1">
      <c r="A29" s="119" t="s">
        <v>389</v>
      </c>
      <c r="B29" s="120"/>
      <c r="C29" s="60">
        <f>ROUND(SUM('Stavební rozpočet'!AL12:AL179)+(F22+I22+F23+I23+I24+I25),1)</f>
        <v>0</v>
      </c>
      <c r="D29" s="119" t="s">
        <v>401</v>
      </c>
      <c r="E29" s="120"/>
      <c r="F29" s="60">
        <f>ROUND(C29*(21/100),2)</f>
        <v>0</v>
      </c>
      <c r="G29" s="119" t="s">
        <v>416</v>
      </c>
      <c r="H29" s="120"/>
      <c r="I29" s="60">
        <f>ROUND(SUM(F28:F29)+I28,1)</f>
        <v>0</v>
      </c>
      <c r="J29" s="33"/>
    </row>
    <row r="30" spans="1:9" ht="12.75">
      <c r="A30" s="49"/>
      <c r="B30" s="49"/>
      <c r="C30" s="49"/>
      <c r="D30" s="49"/>
      <c r="E30" s="49"/>
      <c r="F30" s="49"/>
      <c r="G30" s="49"/>
      <c r="H30" s="49"/>
      <c r="I30" s="49"/>
    </row>
    <row r="31" spans="1:10" ht="14.25" customHeight="1">
      <c r="A31" s="121" t="s">
        <v>390</v>
      </c>
      <c r="B31" s="122"/>
      <c r="C31" s="123"/>
      <c r="D31" s="121" t="s">
        <v>402</v>
      </c>
      <c r="E31" s="122"/>
      <c r="F31" s="123"/>
      <c r="G31" s="121" t="s">
        <v>417</v>
      </c>
      <c r="H31" s="122"/>
      <c r="I31" s="123"/>
      <c r="J31" s="34"/>
    </row>
    <row r="32" spans="1:10" ht="14.25" customHeight="1">
      <c r="A32" s="124"/>
      <c r="B32" s="125"/>
      <c r="C32" s="126"/>
      <c r="D32" s="124"/>
      <c r="E32" s="125"/>
      <c r="F32" s="126"/>
      <c r="G32" s="124"/>
      <c r="H32" s="125"/>
      <c r="I32" s="126"/>
      <c r="J32" s="34"/>
    </row>
    <row r="33" spans="1:10" ht="14.25" customHeight="1">
      <c r="A33" s="124"/>
      <c r="B33" s="125"/>
      <c r="C33" s="126"/>
      <c r="D33" s="124"/>
      <c r="E33" s="125"/>
      <c r="F33" s="126"/>
      <c r="G33" s="124"/>
      <c r="H33" s="125"/>
      <c r="I33" s="126"/>
      <c r="J33" s="34"/>
    </row>
    <row r="34" spans="1:10" ht="14.25" customHeight="1">
      <c r="A34" s="124"/>
      <c r="B34" s="125"/>
      <c r="C34" s="126"/>
      <c r="D34" s="124"/>
      <c r="E34" s="125"/>
      <c r="F34" s="126"/>
      <c r="G34" s="124"/>
      <c r="H34" s="125"/>
      <c r="I34" s="126"/>
      <c r="J34" s="34"/>
    </row>
    <row r="35" spans="1:10" ht="14.25" customHeight="1">
      <c r="A35" s="127" t="s">
        <v>391</v>
      </c>
      <c r="B35" s="128"/>
      <c r="C35" s="129"/>
      <c r="D35" s="127" t="s">
        <v>391</v>
      </c>
      <c r="E35" s="128"/>
      <c r="F35" s="129"/>
      <c r="G35" s="127" t="s">
        <v>391</v>
      </c>
      <c r="H35" s="128"/>
      <c r="I35" s="129"/>
      <c r="J35" s="34"/>
    </row>
    <row r="36" spans="1:9" ht="11.25" customHeight="1">
      <c r="A36" s="50" t="s">
        <v>65</v>
      </c>
      <c r="B36" s="52"/>
      <c r="C36" s="52"/>
      <c r="D36" s="52"/>
      <c r="E36" s="52"/>
      <c r="F36" s="52"/>
      <c r="G36" s="52"/>
      <c r="H36" s="52"/>
      <c r="I36" s="52"/>
    </row>
    <row r="37" spans="1:9" ht="12.75">
      <c r="A37" s="90"/>
      <c r="B37" s="82"/>
      <c r="C37" s="82"/>
      <c r="D37" s="82"/>
      <c r="E37" s="82"/>
      <c r="F37" s="82"/>
      <c r="G37" s="82"/>
      <c r="H37" s="82"/>
      <c r="I37" s="82"/>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dc:creator>
  <cp:keywords/>
  <dc:description/>
  <cp:lastModifiedBy>Jitka</cp:lastModifiedBy>
  <dcterms:created xsi:type="dcterms:W3CDTF">2020-06-09T16:09:56Z</dcterms:created>
  <dcterms:modified xsi:type="dcterms:W3CDTF">2020-06-09T16:14:41Z</dcterms:modified>
  <cp:category/>
  <cp:version/>
  <cp:contentType/>
  <cp:contentStatus/>
</cp:coreProperties>
</file>