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CD_stavby\SONA\MS_Pellicova_REKCE KUCHYNĚ_STAVBA\4_VV\"/>
    </mc:Choice>
  </mc:AlternateContent>
  <bookViews>
    <workbookView xWindow="0" yWindow="0" windowWidth="28800" windowHeight="11700" firstSheet="1" activeTab="1"/>
  </bookViews>
  <sheets>
    <sheet name="VORN" sheetId="2" state="hidden" r:id="rId1"/>
    <sheet name="5_VV_ZTI+plyn" sheetId="3" r:id="rId2"/>
  </sheets>
  <definedNames>
    <definedName name="_xlnm.Print_Titles" localSheetId="1">'5_VV_ZTI+plyn'!$3:$7</definedName>
    <definedName name="_xlnm.Print_Area" localSheetId="1">'5_VV_ZTI+plyn'!$A$1:$K$161</definedName>
    <definedName name="vorn_sum">VORN!$I$36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155" i="3" l="1"/>
  <c r="BH155" i="3"/>
  <c r="BB155" i="3"/>
  <c r="AN155" i="3"/>
  <c r="AM155" i="3"/>
  <c r="AI155" i="3"/>
  <c r="AH155" i="3"/>
  <c r="AF155" i="3"/>
  <c r="AE155" i="3"/>
  <c r="AD155" i="3"/>
  <c r="AC155" i="3"/>
  <c r="AB155" i="3"/>
  <c r="X155" i="3"/>
  <c r="M155" i="3"/>
  <c r="BD155" i="3" s="1"/>
  <c r="J155" i="3"/>
  <c r="BU154" i="3"/>
  <c r="BH154" i="3"/>
  <c r="BB154" i="3"/>
  <c r="AN154" i="3"/>
  <c r="AV154" i="3" s="1"/>
  <c r="AM154" i="3"/>
  <c r="AU154" i="3" s="1"/>
  <c r="AI154" i="3"/>
  <c r="AH154" i="3"/>
  <c r="AF154" i="3"/>
  <c r="AE154" i="3"/>
  <c r="AD154" i="3"/>
  <c r="AC154" i="3"/>
  <c r="AB154" i="3"/>
  <c r="X154" i="3"/>
  <c r="M154" i="3"/>
  <c r="BD154" i="3" s="1"/>
  <c r="J154" i="3"/>
  <c r="BU153" i="3"/>
  <c r="BH153" i="3"/>
  <c r="BB153" i="3"/>
  <c r="AN153" i="3"/>
  <c r="AM153" i="3"/>
  <c r="AI153" i="3"/>
  <c r="AH153" i="3"/>
  <c r="AF153" i="3"/>
  <c r="AE153" i="3"/>
  <c r="AD153" i="3"/>
  <c r="AC153" i="3"/>
  <c r="AB153" i="3"/>
  <c r="X153" i="3"/>
  <c r="M153" i="3"/>
  <c r="BD153" i="3" s="1"/>
  <c r="J153" i="3"/>
  <c r="AJ153" i="3" s="1"/>
  <c r="BU152" i="3"/>
  <c r="BH152" i="3"/>
  <c r="BB152" i="3"/>
  <c r="AN152" i="3"/>
  <c r="AV152" i="3" s="1"/>
  <c r="AM152" i="3"/>
  <c r="AU152" i="3" s="1"/>
  <c r="AI152" i="3"/>
  <c r="AH152" i="3"/>
  <c r="AF152" i="3"/>
  <c r="AE152" i="3"/>
  <c r="AD152" i="3"/>
  <c r="AC152" i="3"/>
  <c r="AB152" i="3"/>
  <c r="X152" i="3"/>
  <c r="M152" i="3"/>
  <c r="BD152" i="3" s="1"/>
  <c r="J152" i="3"/>
  <c r="BU150" i="3"/>
  <c r="BH150" i="3"/>
  <c r="BB150" i="3"/>
  <c r="AN150" i="3"/>
  <c r="BG150" i="3" s="1"/>
  <c r="AA150" i="3" s="1"/>
  <c r="AM150" i="3"/>
  <c r="BF150" i="3" s="1"/>
  <c r="Z150" i="3" s="1"/>
  <c r="AI150" i="3"/>
  <c r="AH150" i="3"/>
  <c r="AF150" i="3"/>
  <c r="AE150" i="3"/>
  <c r="AD150" i="3"/>
  <c r="AC150" i="3"/>
  <c r="AB150" i="3"/>
  <c r="X150" i="3"/>
  <c r="M150" i="3"/>
  <c r="BD150" i="3" s="1"/>
  <c r="J150" i="3"/>
  <c r="AJ150" i="3" s="1"/>
  <c r="BU148" i="3"/>
  <c r="BH148" i="3"/>
  <c r="BB148" i="3"/>
  <c r="AN148" i="3"/>
  <c r="AM148" i="3"/>
  <c r="H148" i="3" s="1"/>
  <c r="AI148" i="3"/>
  <c r="AH148" i="3"/>
  <c r="AF148" i="3"/>
  <c r="AE148" i="3"/>
  <c r="AD148" i="3"/>
  <c r="AC148" i="3"/>
  <c r="AB148" i="3"/>
  <c r="X148" i="3"/>
  <c r="M148" i="3"/>
  <c r="BD148" i="3" s="1"/>
  <c r="J148" i="3"/>
  <c r="BU147" i="3"/>
  <c r="BH147" i="3"/>
  <c r="BB147" i="3"/>
  <c r="AN147" i="3"/>
  <c r="BG147" i="3" s="1"/>
  <c r="AA147" i="3" s="1"/>
  <c r="AM147" i="3"/>
  <c r="BF147" i="3" s="1"/>
  <c r="Z147" i="3" s="1"/>
  <c r="AI147" i="3"/>
  <c r="AH147" i="3"/>
  <c r="AF147" i="3"/>
  <c r="AE147" i="3"/>
  <c r="AD147" i="3"/>
  <c r="AC147" i="3"/>
  <c r="AB147" i="3"/>
  <c r="X147" i="3"/>
  <c r="M147" i="3"/>
  <c r="J147" i="3"/>
  <c r="BU145" i="3"/>
  <c r="BH145" i="3"/>
  <c r="BB145" i="3"/>
  <c r="AN145" i="3"/>
  <c r="AM145" i="3"/>
  <c r="BF145" i="3" s="1"/>
  <c r="AB145" i="3" s="1"/>
  <c r="AI145" i="3"/>
  <c r="AH145" i="3"/>
  <c r="AF145" i="3"/>
  <c r="AE145" i="3"/>
  <c r="AD145" i="3"/>
  <c r="AA145" i="3"/>
  <c r="Z145" i="3"/>
  <c r="X145" i="3"/>
  <c r="M145" i="3"/>
  <c r="BD145" i="3" s="1"/>
  <c r="J145" i="3"/>
  <c r="AJ145" i="3" s="1"/>
  <c r="BU143" i="3"/>
  <c r="BH143" i="3"/>
  <c r="BB143" i="3"/>
  <c r="AN143" i="3"/>
  <c r="AV143" i="3" s="1"/>
  <c r="AM143" i="3"/>
  <c r="AI143" i="3"/>
  <c r="AH143" i="3"/>
  <c r="AF143" i="3"/>
  <c r="AE143" i="3"/>
  <c r="AD143" i="3"/>
  <c r="AA143" i="3"/>
  <c r="Z143" i="3"/>
  <c r="X143" i="3"/>
  <c r="M143" i="3"/>
  <c r="BD143" i="3" s="1"/>
  <c r="J143" i="3"/>
  <c r="AJ143" i="3" s="1"/>
  <c r="BU141" i="3"/>
  <c r="BH141" i="3"/>
  <c r="BB141" i="3"/>
  <c r="AN141" i="3"/>
  <c r="AM141" i="3"/>
  <c r="AU141" i="3" s="1"/>
  <c r="AI141" i="3"/>
  <c r="AH141" i="3"/>
  <c r="AF141" i="3"/>
  <c r="AE141" i="3"/>
  <c r="AD141" i="3"/>
  <c r="AA141" i="3"/>
  <c r="Z141" i="3"/>
  <c r="X141" i="3"/>
  <c r="M141" i="3"/>
  <c r="J141" i="3"/>
  <c r="BU139" i="3"/>
  <c r="BH139" i="3"/>
  <c r="BB139" i="3"/>
  <c r="AN139" i="3"/>
  <c r="AV139" i="3" s="1"/>
  <c r="AM139" i="3"/>
  <c r="AU139" i="3" s="1"/>
  <c r="AI139" i="3"/>
  <c r="AH139" i="3"/>
  <c r="AF139" i="3"/>
  <c r="AE139" i="3"/>
  <c r="AD139" i="3"/>
  <c r="AA139" i="3"/>
  <c r="Z139" i="3"/>
  <c r="X139" i="3"/>
  <c r="M139" i="3"/>
  <c r="BD139" i="3" s="1"/>
  <c r="J139" i="3"/>
  <c r="AJ139" i="3" s="1"/>
  <c r="BU137" i="3"/>
  <c r="BH137" i="3"/>
  <c r="BB137" i="3"/>
  <c r="AN137" i="3"/>
  <c r="AM137" i="3"/>
  <c r="AI137" i="3"/>
  <c r="AH137" i="3"/>
  <c r="AF137" i="3"/>
  <c r="AE137" i="3"/>
  <c r="AD137" i="3"/>
  <c r="AA137" i="3"/>
  <c r="Z137" i="3"/>
  <c r="X137" i="3"/>
  <c r="M137" i="3"/>
  <c r="J137" i="3"/>
  <c r="BU136" i="3"/>
  <c r="BH136" i="3"/>
  <c r="BB136" i="3"/>
  <c r="AN136" i="3"/>
  <c r="AV136" i="3" s="1"/>
  <c r="AM136" i="3"/>
  <c r="AI136" i="3"/>
  <c r="AH136" i="3"/>
  <c r="AF136" i="3"/>
  <c r="AE136" i="3"/>
  <c r="AD136" i="3"/>
  <c r="AA136" i="3"/>
  <c r="Z136" i="3"/>
  <c r="X136" i="3"/>
  <c r="M136" i="3"/>
  <c r="BD136" i="3" s="1"/>
  <c r="J136" i="3"/>
  <c r="BU134" i="3"/>
  <c r="BH134" i="3"/>
  <c r="X134" i="3" s="1"/>
  <c r="BB134" i="3"/>
  <c r="AN134" i="3"/>
  <c r="BG134" i="3" s="1"/>
  <c r="AM134" i="3"/>
  <c r="BF134" i="3" s="1"/>
  <c r="AI134" i="3"/>
  <c r="AH134" i="3"/>
  <c r="AF134" i="3"/>
  <c r="AE134" i="3"/>
  <c r="AD134" i="3"/>
  <c r="AC134" i="3"/>
  <c r="AB134" i="3"/>
  <c r="AA134" i="3"/>
  <c r="Z134" i="3"/>
  <c r="M134" i="3"/>
  <c r="BD134" i="3" s="1"/>
  <c r="J134" i="3"/>
  <c r="AJ134" i="3" s="1"/>
  <c r="BU133" i="3"/>
  <c r="BH133" i="3"/>
  <c r="BB133" i="3"/>
  <c r="AN133" i="3"/>
  <c r="AV133" i="3" s="1"/>
  <c r="AM133" i="3"/>
  <c r="AU133" i="3" s="1"/>
  <c r="AI133" i="3"/>
  <c r="AH133" i="3"/>
  <c r="AF133" i="3"/>
  <c r="AE133" i="3"/>
  <c r="AD133" i="3"/>
  <c r="AA133" i="3"/>
  <c r="Z133" i="3"/>
  <c r="X133" i="3"/>
  <c r="M133" i="3"/>
  <c r="BD133" i="3" s="1"/>
  <c r="J133" i="3"/>
  <c r="AJ133" i="3" s="1"/>
  <c r="BU132" i="3"/>
  <c r="BH132" i="3"/>
  <c r="BB132" i="3"/>
  <c r="AN132" i="3"/>
  <c r="AM132" i="3"/>
  <c r="AU132" i="3" s="1"/>
  <c r="AI132" i="3"/>
  <c r="AH132" i="3"/>
  <c r="AF132" i="3"/>
  <c r="AE132" i="3"/>
  <c r="AD132" i="3"/>
  <c r="AA132" i="3"/>
  <c r="Z132" i="3"/>
  <c r="X132" i="3"/>
  <c r="M132" i="3"/>
  <c r="BD132" i="3" s="1"/>
  <c r="J132" i="3"/>
  <c r="BU131" i="3"/>
  <c r="BH131" i="3"/>
  <c r="BB131" i="3"/>
  <c r="AN131" i="3"/>
  <c r="I131" i="3" s="1"/>
  <c r="AM131" i="3"/>
  <c r="H131" i="3" s="1"/>
  <c r="AI131" i="3"/>
  <c r="AH131" i="3"/>
  <c r="AF131" i="3"/>
  <c r="AE131" i="3"/>
  <c r="AD131" i="3"/>
  <c r="AA131" i="3"/>
  <c r="Z131" i="3"/>
  <c r="X131" i="3"/>
  <c r="M131" i="3"/>
  <c r="BD131" i="3" s="1"/>
  <c r="J131" i="3"/>
  <c r="BU130" i="3"/>
  <c r="BH130" i="3"/>
  <c r="BB130" i="3"/>
  <c r="AN130" i="3"/>
  <c r="AM130" i="3"/>
  <c r="AI130" i="3"/>
  <c r="AH130" i="3"/>
  <c r="AF130" i="3"/>
  <c r="AE130" i="3"/>
  <c r="AD130" i="3"/>
  <c r="AA130" i="3"/>
  <c r="Z130" i="3"/>
  <c r="X130" i="3"/>
  <c r="M130" i="3"/>
  <c r="BD130" i="3" s="1"/>
  <c r="J130" i="3"/>
  <c r="AJ130" i="3" s="1"/>
  <c r="BU129" i="3"/>
  <c r="BH129" i="3"/>
  <c r="BB129" i="3"/>
  <c r="AN129" i="3"/>
  <c r="AV129" i="3" s="1"/>
  <c r="AM129" i="3"/>
  <c r="AI129" i="3"/>
  <c r="AH129" i="3"/>
  <c r="AF129" i="3"/>
  <c r="AE129" i="3"/>
  <c r="AD129" i="3"/>
  <c r="AA129" i="3"/>
  <c r="Z129" i="3"/>
  <c r="X129" i="3"/>
  <c r="M129" i="3"/>
  <c r="BD129" i="3" s="1"/>
  <c r="J129" i="3"/>
  <c r="BU127" i="3"/>
  <c r="BH127" i="3"/>
  <c r="BB127" i="3"/>
  <c r="AN127" i="3"/>
  <c r="BG127" i="3" s="1"/>
  <c r="AC127" i="3" s="1"/>
  <c r="AM127" i="3"/>
  <c r="BF127" i="3" s="1"/>
  <c r="AB127" i="3" s="1"/>
  <c r="AI127" i="3"/>
  <c r="AH127" i="3"/>
  <c r="AF127" i="3"/>
  <c r="AE127" i="3"/>
  <c r="AD127" i="3"/>
  <c r="AA127" i="3"/>
  <c r="Z127" i="3"/>
  <c r="X127" i="3"/>
  <c r="M127" i="3"/>
  <c r="BD127" i="3" s="1"/>
  <c r="J127" i="3"/>
  <c r="AJ127" i="3" s="1"/>
  <c r="BU126" i="3"/>
  <c r="BH126" i="3"/>
  <c r="BB126" i="3"/>
  <c r="AN126" i="3"/>
  <c r="AM126" i="3"/>
  <c r="AI126" i="3"/>
  <c r="AH126" i="3"/>
  <c r="AF126" i="3"/>
  <c r="AE126" i="3"/>
  <c r="AD126" i="3"/>
  <c r="AA126" i="3"/>
  <c r="Z126" i="3"/>
  <c r="X126" i="3"/>
  <c r="M126" i="3"/>
  <c r="BD126" i="3" s="1"/>
  <c r="J126" i="3"/>
  <c r="AJ126" i="3" s="1"/>
  <c r="BU125" i="3"/>
  <c r="BH125" i="3"/>
  <c r="BB125" i="3"/>
  <c r="AN125" i="3"/>
  <c r="BG125" i="3" s="1"/>
  <c r="AC125" i="3" s="1"/>
  <c r="AM125" i="3"/>
  <c r="AI125" i="3"/>
  <c r="AH125" i="3"/>
  <c r="AF125" i="3"/>
  <c r="AE125" i="3"/>
  <c r="AD125" i="3"/>
  <c r="AA125" i="3"/>
  <c r="Z125" i="3"/>
  <c r="X125" i="3"/>
  <c r="M125" i="3"/>
  <c r="J125" i="3"/>
  <c r="AJ125" i="3" s="1"/>
  <c r="BU124" i="3"/>
  <c r="BH124" i="3"/>
  <c r="BB124" i="3"/>
  <c r="AN124" i="3"/>
  <c r="AV124" i="3" s="1"/>
  <c r="AM124" i="3"/>
  <c r="AU124" i="3" s="1"/>
  <c r="AI124" i="3"/>
  <c r="AH124" i="3"/>
  <c r="AF124" i="3"/>
  <c r="AE124" i="3"/>
  <c r="AD124" i="3"/>
  <c r="AA124" i="3"/>
  <c r="Z124" i="3"/>
  <c r="X124" i="3"/>
  <c r="M124" i="3"/>
  <c r="BD124" i="3" s="1"/>
  <c r="J124" i="3"/>
  <c r="AJ124" i="3" s="1"/>
  <c r="BU122" i="3"/>
  <c r="BH122" i="3"/>
  <c r="BB122" i="3"/>
  <c r="AN122" i="3"/>
  <c r="AM122" i="3"/>
  <c r="AU122" i="3" s="1"/>
  <c r="AI122" i="3"/>
  <c r="AH122" i="3"/>
  <c r="AF122" i="3"/>
  <c r="AE122" i="3"/>
  <c r="AD122" i="3"/>
  <c r="AA122" i="3"/>
  <c r="Z122" i="3"/>
  <c r="X122" i="3"/>
  <c r="M122" i="3"/>
  <c r="BD122" i="3" s="1"/>
  <c r="J122" i="3"/>
  <c r="BU120" i="3"/>
  <c r="BH120" i="3"/>
  <c r="BB120" i="3"/>
  <c r="AN120" i="3"/>
  <c r="AV120" i="3" s="1"/>
  <c r="AM120" i="3"/>
  <c r="AU120" i="3" s="1"/>
  <c r="AI120" i="3"/>
  <c r="AH120" i="3"/>
  <c r="AF120" i="3"/>
  <c r="AE120" i="3"/>
  <c r="AD120" i="3"/>
  <c r="AA120" i="3"/>
  <c r="Z120" i="3"/>
  <c r="X120" i="3"/>
  <c r="M120" i="3"/>
  <c r="BD120" i="3" s="1"/>
  <c r="J120" i="3"/>
  <c r="AJ120" i="3" s="1"/>
  <c r="BU119" i="3"/>
  <c r="BH119" i="3"/>
  <c r="X119" i="3" s="1"/>
  <c r="BB119" i="3"/>
  <c r="AN119" i="3"/>
  <c r="BG119" i="3" s="1"/>
  <c r="AM119" i="3"/>
  <c r="BF119" i="3" s="1"/>
  <c r="AI119" i="3"/>
  <c r="AH119" i="3"/>
  <c r="AF119" i="3"/>
  <c r="AE119" i="3"/>
  <c r="AD119" i="3"/>
  <c r="AC119" i="3"/>
  <c r="AB119" i="3"/>
  <c r="AA119" i="3"/>
  <c r="Z119" i="3"/>
  <c r="M119" i="3"/>
  <c r="BD119" i="3" s="1"/>
  <c r="J119" i="3"/>
  <c r="AJ119" i="3" s="1"/>
  <c r="BU118" i="3"/>
  <c r="BH118" i="3"/>
  <c r="BB118" i="3"/>
  <c r="AN118" i="3"/>
  <c r="AM118" i="3"/>
  <c r="H118" i="3" s="1"/>
  <c r="AI118" i="3"/>
  <c r="AH118" i="3"/>
  <c r="AF118" i="3"/>
  <c r="AE118" i="3"/>
  <c r="AD118" i="3"/>
  <c r="AA118" i="3"/>
  <c r="Z118" i="3"/>
  <c r="X118" i="3"/>
  <c r="M118" i="3"/>
  <c r="BD118" i="3" s="1"/>
  <c r="J118" i="3"/>
  <c r="BU117" i="3"/>
  <c r="BH117" i="3"/>
  <c r="BB117" i="3"/>
  <c r="AN117" i="3"/>
  <c r="BG117" i="3" s="1"/>
  <c r="AC117" i="3" s="1"/>
  <c r="AM117" i="3"/>
  <c r="AI117" i="3"/>
  <c r="AH117" i="3"/>
  <c r="AF117" i="3"/>
  <c r="AE117" i="3"/>
  <c r="AD117" i="3"/>
  <c r="AA117" i="3"/>
  <c r="Z117" i="3"/>
  <c r="X117" i="3"/>
  <c r="M117" i="3"/>
  <c r="BD117" i="3" s="1"/>
  <c r="J117" i="3"/>
  <c r="AJ117" i="3" s="1"/>
  <c r="BU116" i="3"/>
  <c r="BH116" i="3"/>
  <c r="BB116" i="3"/>
  <c r="AN116" i="3"/>
  <c r="AM116" i="3"/>
  <c r="AU116" i="3" s="1"/>
  <c r="AI116" i="3"/>
  <c r="AH116" i="3"/>
  <c r="AF116" i="3"/>
  <c r="AE116" i="3"/>
  <c r="AD116" i="3"/>
  <c r="AA116" i="3"/>
  <c r="Z116" i="3"/>
  <c r="X116" i="3"/>
  <c r="M116" i="3"/>
  <c r="BD116" i="3" s="1"/>
  <c r="J116" i="3"/>
  <c r="AJ116" i="3" s="1"/>
  <c r="BU114" i="3"/>
  <c r="BH114" i="3"/>
  <c r="BB114" i="3"/>
  <c r="AN114" i="3"/>
  <c r="BG114" i="3" s="1"/>
  <c r="AC114" i="3" s="1"/>
  <c r="AM114" i="3"/>
  <c r="BF114" i="3" s="1"/>
  <c r="AB114" i="3" s="1"/>
  <c r="AI114" i="3"/>
  <c r="AH114" i="3"/>
  <c r="AF114" i="3"/>
  <c r="AE114" i="3"/>
  <c r="AD114" i="3"/>
  <c r="AA114" i="3"/>
  <c r="Z114" i="3"/>
  <c r="X114" i="3"/>
  <c r="M114" i="3"/>
  <c r="BD114" i="3" s="1"/>
  <c r="J114" i="3"/>
  <c r="BU112" i="3"/>
  <c r="BH112" i="3"/>
  <c r="BB112" i="3"/>
  <c r="AN112" i="3"/>
  <c r="I112" i="3" s="1"/>
  <c r="AM112" i="3"/>
  <c r="H112" i="3" s="1"/>
  <c r="AI112" i="3"/>
  <c r="AH112" i="3"/>
  <c r="AF112" i="3"/>
  <c r="AE112" i="3"/>
  <c r="AD112" i="3"/>
  <c r="AA112" i="3"/>
  <c r="Z112" i="3"/>
  <c r="X112" i="3"/>
  <c r="M112" i="3"/>
  <c r="BD112" i="3" s="1"/>
  <c r="J112" i="3"/>
  <c r="AJ112" i="3" s="1"/>
  <c r="BU111" i="3"/>
  <c r="BH111" i="3"/>
  <c r="BB111" i="3"/>
  <c r="AN111" i="3"/>
  <c r="AM111" i="3"/>
  <c r="AU111" i="3" s="1"/>
  <c r="AI111" i="3"/>
  <c r="AH111" i="3"/>
  <c r="AF111" i="3"/>
  <c r="AE111" i="3"/>
  <c r="AD111" i="3"/>
  <c r="AA111" i="3"/>
  <c r="Z111" i="3"/>
  <c r="X111" i="3"/>
  <c r="M111" i="3"/>
  <c r="BD111" i="3" s="1"/>
  <c r="J111" i="3"/>
  <c r="AJ111" i="3" s="1"/>
  <c r="BU109" i="3"/>
  <c r="BH109" i="3"/>
  <c r="BB109" i="3"/>
  <c r="AN109" i="3"/>
  <c r="AV109" i="3" s="1"/>
  <c r="AM109" i="3"/>
  <c r="AI109" i="3"/>
  <c r="AH109" i="3"/>
  <c r="AF109" i="3"/>
  <c r="AE109" i="3"/>
  <c r="AD109" i="3"/>
  <c r="AA109" i="3"/>
  <c r="Z109" i="3"/>
  <c r="X109" i="3"/>
  <c r="M109" i="3"/>
  <c r="BD109" i="3" s="1"/>
  <c r="J109" i="3"/>
  <c r="AJ109" i="3" s="1"/>
  <c r="BU107" i="3"/>
  <c r="BH107" i="3"/>
  <c r="BB107" i="3"/>
  <c r="AN107" i="3"/>
  <c r="AM107" i="3"/>
  <c r="AI107" i="3"/>
  <c r="AH107" i="3"/>
  <c r="AF107" i="3"/>
  <c r="AE107" i="3"/>
  <c r="AD107" i="3"/>
  <c r="AA107" i="3"/>
  <c r="Z107" i="3"/>
  <c r="X107" i="3"/>
  <c r="M107" i="3"/>
  <c r="BD107" i="3" s="1"/>
  <c r="J107" i="3"/>
  <c r="AJ107" i="3" s="1"/>
  <c r="BU105" i="3"/>
  <c r="BH105" i="3"/>
  <c r="BB105" i="3"/>
  <c r="AN105" i="3"/>
  <c r="AV105" i="3" s="1"/>
  <c r="AM105" i="3"/>
  <c r="AU105" i="3" s="1"/>
  <c r="AI105" i="3"/>
  <c r="AH105" i="3"/>
  <c r="AF105" i="3"/>
  <c r="AE105" i="3"/>
  <c r="AD105" i="3"/>
  <c r="AA105" i="3"/>
  <c r="Z105" i="3"/>
  <c r="X105" i="3"/>
  <c r="M105" i="3"/>
  <c r="BD105" i="3" s="1"/>
  <c r="J105" i="3"/>
  <c r="AJ105" i="3" s="1"/>
  <c r="BU103" i="3"/>
  <c r="BH103" i="3"/>
  <c r="BB103" i="3"/>
  <c r="AN103" i="3"/>
  <c r="BG103" i="3" s="1"/>
  <c r="AC103" i="3" s="1"/>
  <c r="AM103" i="3"/>
  <c r="BF103" i="3" s="1"/>
  <c r="AB103" i="3" s="1"/>
  <c r="AI103" i="3"/>
  <c r="AH103" i="3"/>
  <c r="AF103" i="3"/>
  <c r="AE103" i="3"/>
  <c r="AD103" i="3"/>
  <c r="AA103" i="3"/>
  <c r="Z103" i="3"/>
  <c r="X103" i="3"/>
  <c r="M103" i="3"/>
  <c r="J103" i="3"/>
  <c r="BU101" i="3"/>
  <c r="BH101" i="3"/>
  <c r="X101" i="3" s="1"/>
  <c r="BB101" i="3"/>
  <c r="AN101" i="3"/>
  <c r="AV101" i="3" s="1"/>
  <c r="AM101" i="3"/>
  <c r="H101" i="3" s="1"/>
  <c r="AI101" i="3"/>
  <c r="AH101" i="3"/>
  <c r="AF101" i="3"/>
  <c r="AE101" i="3"/>
  <c r="AD101" i="3"/>
  <c r="AC101" i="3"/>
  <c r="AB101" i="3"/>
  <c r="AA101" i="3"/>
  <c r="Z101" i="3"/>
  <c r="M101" i="3"/>
  <c r="BD101" i="3" s="1"/>
  <c r="J101" i="3"/>
  <c r="AJ101" i="3" s="1"/>
  <c r="BU100" i="3"/>
  <c r="BH100" i="3"/>
  <c r="BB100" i="3"/>
  <c r="AN100" i="3"/>
  <c r="BG100" i="3" s="1"/>
  <c r="AC100" i="3" s="1"/>
  <c r="AM100" i="3"/>
  <c r="BF100" i="3" s="1"/>
  <c r="AB100" i="3" s="1"/>
  <c r="AI100" i="3"/>
  <c r="AH100" i="3"/>
  <c r="AF100" i="3"/>
  <c r="AE100" i="3"/>
  <c r="AD100" i="3"/>
  <c r="AA100" i="3"/>
  <c r="Z100" i="3"/>
  <c r="X100" i="3"/>
  <c r="M100" i="3"/>
  <c r="BD100" i="3" s="1"/>
  <c r="J100" i="3"/>
  <c r="AJ100" i="3" s="1"/>
  <c r="BU99" i="3"/>
  <c r="BH99" i="3"/>
  <c r="BB99" i="3"/>
  <c r="AN99" i="3"/>
  <c r="I99" i="3" s="1"/>
  <c r="AM99" i="3"/>
  <c r="H99" i="3" s="1"/>
  <c r="AI99" i="3"/>
  <c r="AH99" i="3"/>
  <c r="AF99" i="3"/>
  <c r="AE99" i="3"/>
  <c r="AD99" i="3"/>
  <c r="AA99" i="3"/>
  <c r="Z99" i="3"/>
  <c r="X99" i="3"/>
  <c r="M99" i="3"/>
  <c r="BD99" i="3" s="1"/>
  <c r="J99" i="3"/>
  <c r="AJ99" i="3" s="1"/>
  <c r="BU97" i="3"/>
  <c r="BH97" i="3"/>
  <c r="BB97" i="3"/>
  <c r="AN97" i="3"/>
  <c r="AM97" i="3"/>
  <c r="AI97" i="3"/>
  <c r="AH97" i="3"/>
  <c r="AF97" i="3"/>
  <c r="AE97" i="3"/>
  <c r="AD97" i="3"/>
  <c r="AA97" i="3"/>
  <c r="Z97" i="3"/>
  <c r="X97" i="3"/>
  <c r="M97" i="3"/>
  <c r="BD97" i="3" s="1"/>
  <c r="J97" i="3"/>
  <c r="AJ97" i="3" s="1"/>
  <c r="BU95" i="3"/>
  <c r="BH95" i="3"/>
  <c r="BB95" i="3"/>
  <c r="AN95" i="3"/>
  <c r="AV95" i="3" s="1"/>
  <c r="AM95" i="3"/>
  <c r="AU95" i="3" s="1"/>
  <c r="AI95" i="3"/>
  <c r="AH95" i="3"/>
  <c r="AF95" i="3"/>
  <c r="AC95" i="3"/>
  <c r="AB95" i="3"/>
  <c r="AA95" i="3"/>
  <c r="Z95" i="3"/>
  <c r="X95" i="3"/>
  <c r="M95" i="3"/>
  <c r="BD95" i="3" s="1"/>
  <c r="J95" i="3"/>
  <c r="BU94" i="3"/>
  <c r="BH94" i="3"/>
  <c r="BB94" i="3"/>
  <c r="AN94" i="3"/>
  <c r="BG94" i="3" s="1"/>
  <c r="AC94" i="3" s="1"/>
  <c r="AM94" i="3"/>
  <c r="BF94" i="3" s="1"/>
  <c r="AB94" i="3" s="1"/>
  <c r="AI94" i="3"/>
  <c r="AH94" i="3"/>
  <c r="AF94" i="3"/>
  <c r="AE94" i="3"/>
  <c r="AD94" i="3"/>
  <c r="AA94" i="3"/>
  <c r="Z94" i="3"/>
  <c r="X94" i="3"/>
  <c r="M94" i="3"/>
  <c r="BD94" i="3" s="1"/>
  <c r="J94" i="3"/>
  <c r="AJ94" i="3" s="1"/>
  <c r="BU93" i="3"/>
  <c r="BH93" i="3"/>
  <c r="BB93" i="3"/>
  <c r="AN93" i="3"/>
  <c r="AM93" i="3"/>
  <c r="H93" i="3" s="1"/>
  <c r="AI93" i="3"/>
  <c r="AH93" i="3"/>
  <c r="AF93" i="3"/>
  <c r="AE93" i="3"/>
  <c r="AD93" i="3"/>
  <c r="AA93" i="3"/>
  <c r="Z93" i="3"/>
  <c r="X93" i="3"/>
  <c r="M93" i="3"/>
  <c r="BD93" i="3" s="1"/>
  <c r="J93" i="3"/>
  <c r="AJ93" i="3" s="1"/>
  <c r="BU91" i="3"/>
  <c r="BH91" i="3"/>
  <c r="BB91" i="3"/>
  <c r="AN91" i="3"/>
  <c r="AV91" i="3" s="1"/>
  <c r="AM91" i="3"/>
  <c r="BF91" i="3" s="1"/>
  <c r="AB91" i="3" s="1"/>
  <c r="AI91" i="3"/>
  <c r="AH91" i="3"/>
  <c r="AF91" i="3"/>
  <c r="AE91" i="3"/>
  <c r="AD91" i="3"/>
  <c r="AA91" i="3"/>
  <c r="Z91" i="3"/>
  <c r="X91" i="3"/>
  <c r="M91" i="3"/>
  <c r="BD91" i="3" s="1"/>
  <c r="J91" i="3"/>
  <c r="AJ91" i="3" s="1"/>
  <c r="BU89" i="3"/>
  <c r="BH89" i="3"/>
  <c r="BB89" i="3"/>
  <c r="AN89" i="3"/>
  <c r="AV89" i="3" s="1"/>
  <c r="AM89" i="3"/>
  <c r="AU89" i="3" s="1"/>
  <c r="AI89" i="3"/>
  <c r="AH89" i="3"/>
  <c r="AF89" i="3"/>
  <c r="AE89" i="3"/>
  <c r="AD89" i="3"/>
  <c r="AA89" i="3"/>
  <c r="Z89" i="3"/>
  <c r="X89" i="3"/>
  <c r="M89" i="3"/>
  <c r="BD89" i="3" s="1"/>
  <c r="J89" i="3"/>
  <c r="BU88" i="3"/>
  <c r="BH88" i="3"/>
  <c r="BB88" i="3"/>
  <c r="AN88" i="3"/>
  <c r="BG88" i="3" s="1"/>
  <c r="AC88" i="3" s="1"/>
  <c r="AM88" i="3"/>
  <c r="BF88" i="3" s="1"/>
  <c r="AB88" i="3" s="1"/>
  <c r="AI88" i="3"/>
  <c r="AH88" i="3"/>
  <c r="AF88" i="3"/>
  <c r="AE88" i="3"/>
  <c r="AD88" i="3"/>
  <c r="AA88" i="3"/>
  <c r="Z88" i="3"/>
  <c r="X88" i="3"/>
  <c r="M88" i="3"/>
  <c r="BD88" i="3" s="1"/>
  <c r="J88" i="3"/>
  <c r="BU87" i="3"/>
  <c r="BH87" i="3"/>
  <c r="BB87" i="3"/>
  <c r="AN87" i="3"/>
  <c r="AM87" i="3"/>
  <c r="H87" i="3" s="1"/>
  <c r="AI87" i="3"/>
  <c r="AH87" i="3"/>
  <c r="AF87" i="3"/>
  <c r="AE87" i="3"/>
  <c r="AD87" i="3"/>
  <c r="AA87" i="3"/>
  <c r="Z87" i="3"/>
  <c r="X87" i="3"/>
  <c r="M87" i="3"/>
  <c r="BD87" i="3" s="1"/>
  <c r="J87" i="3"/>
  <c r="AJ87" i="3" s="1"/>
  <c r="BU85" i="3"/>
  <c r="BH85" i="3"/>
  <c r="BB85" i="3"/>
  <c r="AN85" i="3"/>
  <c r="BG85" i="3" s="1"/>
  <c r="AC85" i="3" s="1"/>
  <c r="AM85" i="3"/>
  <c r="BF85" i="3" s="1"/>
  <c r="AB85" i="3" s="1"/>
  <c r="AI85" i="3"/>
  <c r="AH85" i="3"/>
  <c r="AF85" i="3"/>
  <c r="AE85" i="3"/>
  <c r="AD85" i="3"/>
  <c r="AA85" i="3"/>
  <c r="Z85" i="3"/>
  <c r="X85" i="3"/>
  <c r="M85" i="3"/>
  <c r="BD85" i="3" s="1"/>
  <c r="J85" i="3"/>
  <c r="AJ85" i="3" s="1"/>
  <c r="BU83" i="3"/>
  <c r="BH83" i="3"/>
  <c r="BB83" i="3"/>
  <c r="AN83" i="3"/>
  <c r="AM83" i="3"/>
  <c r="AU83" i="3" s="1"/>
  <c r="AI83" i="3"/>
  <c r="AH83" i="3"/>
  <c r="AF83" i="3"/>
  <c r="AE83" i="3"/>
  <c r="AD83" i="3"/>
  <c r="AA83" i="3"/>
  <c r="Z83" i="3"/>
  <c r="X83" i="3"/>
  <c r="M83" i="3"/>
  <c r="BD83" i="3" s="1"/>
  <c r="J83" i="3"/>
  <c r="BU82" i="3"/>
  <c r="BH82" i="3"/>
  <c r="BB82" i="3"/>
  <c r="AN82" i="3"/>
  <c r="BG82" i="3" s="1"/>
  <c r="AC82" i="3" s="1"/>
  <c r="AM82" i="3"/>
  <c r="BF82" i="3" s="1"/>
  <c r="AB82" i="3" s="1"/>
  <c r="AI82" i="3"/>
  <c r="AH82" i="3"/>
  <c r="AF82" i="3"/>
  <c r="AE82" i="3"/>
  <c r="AD82" i="3"/>
  <c r="AA82" i="3"/>
  <c r="Z82" i="3"/>
  <c r="X82" i="3"/>
  <c r="M82" i="3"/>
  <c r="BD82" i="3" s="1"/>
  <c r="J82" i="3"/>
  <c r="BU81" i="3"/>
  <c r="BH81" i="3"/>
  <c r="BB81" i="3"/>
  <c r="AN81" i="3"/>
  <c r="BG81" i="3" s="1"/>
  <c r="AC81" i="3" s="1"/>
  <c r="AM81" i="3"/>
  <c r="AI81" i="3"/>
  <c r="AH81" i="3"/>
  <c r="AF81" i="3"/>
  <c r="AE81" i="3"/>
  <c r="AD81" i="3"/>
  <c r="AA81" i="3"/>
  <c r="Z81" i="3"/>
  <c r="X81" i="3"/>
  <c r="M81" i="3"/>
  <c r="BD81" i="3" s="1"/>
  <c r="J81" i="3"/>
  <c r="BU80" i="3"/>
  <c r="BH80" i="3"/>
  <c r="BB80" i="3"/>
  <c r="AN80" i="3"/>
  <c r="BG80" i="3" s="1"/>
  <c r="AC80" i="3" s="1"/>
  <c r="AM80" i="3"/>
  <c r="AI80" i="3"/>
  <c r="AH80" i="3"/>
  <c r="AF80" i="3"/>
  <c r="AE80" i="3"/>
  <c r="AD80" i="3"/>
  <c r="AA80" i="3"/>
  <c r="Z80" i="3"/>
  <c r="X80" i="3"/>
  <c r="M80" i="3"/>
  <c r="BD80" i="3" s="1"/>
  <c r="J80" i="3"/>
  <c r="AJ80" i="3" s="1"/>
  <c r="BU79" i="3"/>
  <c r="BH79" i="3"/>
  <c r="BB79" i="3"/>
  <c r="AN79" i="3"/>
  <c r="AV79" i="3" s="1"/>
  <c r="AM79" i="3"/>
  <c r="AU79" i="3" s="1"/>
  <c r="AI79" i="3"/>
  <c r="AH79" i="3"/>
  <c r="AF79" i="3"/>
  <c r="AE79" i="3"/>
  <c r="AD79" i="3"/>
  <c r="AA79" i="3"/>
  <c r="Z79" i="3"/>
  <c r="X79" i="3"/>
  <c r="M79" i="3"/>
  <c r="BD79" i="3" s="1"/>
  <c r="J79" i="3"/>
  <c r="BU78" i="3"/>
  <c r="BH78" i="3"/>
  <c r="BB78" i="3"/>
  <c r="AN78" i="3"/>
  <c r="AV78" i="3" s="1"/>
  <c r="AM78" i="3"/>
  <c r="H78" i="3" s="1"/>
  <c r="AI78" i="3"/>
  <c r="AH78" i="3"/>
  <c r="AF78" i="3"/>
  <c r="AE78" i="3"/>
  <c r="AD78" i="3"/>
  <c r="AA78" i="3"/>
  <c r="Z78" i="3"/>
  <c r="X78" i="3"/>
  <c r="M78" i="3"/>
  <c r="BD78" i="3" s="1"/>
  <c r="J78" i="3"/>
  <c r="AJ78" i="3" s="1"/>
  <c r="BU76" i="3"/>
  <c r="BH76" i="3"/>
  <c r="BB76" i="3"/>
  <c r="AN76" i="3"/>
  <c r="AM76" i="3"/>
  <c r="AU76" i="3" s="1"/>
  <c r="AI76" i="3"/>
  <c r="AH76" i="3"/>
  <c r="AF76" i="3"/>
  <c r="AE76" i="3"/>
  <c r="AD76" i="3"/>
  <c r="AA76" i="3"/>
  <c r="Z76" i="3"/>
  <c r="X76" i="3"/>
  <c r="M76" i="3"/>
  <c r="BD76" i="3" s="1"/>
  <c r="J76" i="3"/>
  <c r="AJ76" i="3" s="1"/>
  <c r="BU74" i="3"/>
  <c r="BH74" i="3"/>
  <c r="BB74" i="3"/>
  <c r="AN74" i="3"/>
  <c r="AV74" i="3" s="1"/>
  <c r="AM74" i="3"/>
  <c r="AU74" i="3" s="1"/>
  <c r="AI74" i="3"/>
  <c r="AH74" i="3"/>
  <c r="AF74" i="3"/>
  <c r="AE74" i="3"/>
  <c r="AD74" i="3"/>
  <c r="AA74" i="3"/>
  <c r="Z74" i="3"/>
  <c r="X74" i="3"/>
  <c r="M74" i="3"/>
  <c r="BD74" i="3" s="1"/>
  <c r="J74" i="3"/>
  <c r="BU72" i="3"/>
  <c r="BH72" i="3"/>
  <c r="BB72" i="3"/>
  <c r="AN72" i="3"/>
  <c r="AM72" i="3"/>
  <c r="AI72" i="3"/>
  <c r="AH72" i="3"/>
  <c r="AF72" i="3"/>
  <c r="AE72" i="3"/>
  <c r="AD72" i="3"/>
  <c r="AA72" i="3"/>
  <c r="Z72" i="3"/>
  <c r="X72" i="3"/>
  <c r="M72" i="3"/>
  <c r="BD72" i="3" s="1"/>
  <c r="J72" i="3"/>
  <c r="BU70" i="3"/>
  <c r="BH70" i="3"/>
  <c r="BB70" i="3"/>
  <c r="AN70" i="3"/>
  <c r="AV70" i="3" s="1"/>
  <c r="AM70" i="3"/>
  <c r="AU70" i="3" s="1"/>
  <c r="AI70" i="3"/>
  <c r="AH70" i="3"/>
  <c r="AF70" i="3"/>
  <c r="AE70" i="3"/>
  <c r="AD70" i="3"/>
  <c r="AA70" i="3"/>
  <c r="Z70" i="3"/>
  <c r="X70" i="3"/>
  <c r="M70" i="3"/>
  <c r="BD70" i="3" s="1"/>
  <c r="J70" i="3"/>
  <c r="BU68" i="3"/>
  <c r="BH68" i="3"/>
  <c r="BB68" i="3"/>
  <c r="AN68" i="3"/>
  <c r="BG68" i="3" s="1"/>
  <c r="AC68" i="3" s="1"/>
  <c r="AM68" i="3"/>
  <c r="H68" i="3" s="1"/>
  <c r="AI68" i="3"/>
  <c r="AH68" i="3"/>
  <c r="AF68" i="3"/>
  <c r="AE68" i="3"/>
  <c r="AD68" i="3"/>
  <c r="AA68" i="3"/>
  <c r="Z68" i="3"/>
  <c r="X68" i="3"/>
  <c r="M68" i="3"/>
  <c r="BD68" i="3" s="1"/>
  <c r="J68" i="3"/>
  <c r="AJ68" i="3" s="1"/>
  <c r="BU66" i="3"/>
  <c r="BH66" i="3"/>
  <c r="BB66" i="3"/>
  <c r="AN66" i="3"/>
  <c r="AV66" i="3" s="1"/>
  <c r="AM66" i="3"/>
  <c r="AU66" i="3" s="1"/>
  <c r="AI66" i="3"/>
  <c r="AH66" i="3"/>
  <c r="AF66" i="3"/>
  <c r="AE66" i="3"/>
  <c r="AD66" i="3"/>
  <c r="AA66" i="3"/>
  <c r="Z66" i="3"/>
  <c r="X66" i="3"/>
  <c r="M66" i="3"/>
  <c r="BD66" i="3" s="1"/>
  <c r="J66" i="3"/>
  <c r="BU65" i="3"/>
  <c r="BH65" i="3"/>
  <c r="BB65" i="3"/>
  <c r="AN65" i="3"/>
  <c r="I65" i="3" s="1"/>
  <c r="AM65" i="3"/>
  <c r="BF65" i="3" s="1"/>
  <c r="AB65" i="3" s="1"/>
  <c r="AI65" i="3"/>
  <c r="AH65" i="3"/>
  <c r="AF65" i="3"/>
  <c r="AE65" i="3"/>
  <c r="AD65" i="3"/>
  <c r="AA65" i="3"/>
  <c r="Z65" i="3"/>
  <c r="X65" i="3"/>
  <c r="M65" i="3"/>
  <c r="BD65" i="3" s="1"/>
  <c r="J65" i="3"/>
  <c r="AJ65" i="3" s="1"/>
  <c r="BU64" i="3"/>
  <c r="BH64" i="3"/>
  <c r="BB64" i="3"/>
  <c r="AN64" i="3"/>
  <c r="AV64" i="3" s="1"/>
  <c r="AM64" i="3"/>
  <c r="AU64" i="3" s="1"/>
  <c r="AI64" i="3"/>
  <c r="AH64" i="3"/>
  <c r="AF64" i="3"/>
  <c r="AE64" i="3"/>
  <c r="AD64" i="3"/>
  <c r="AA64" i="3"/>
  <c r="Z64" i="3"/>
  <c r="X64" i="3"/>
  <c r="M64" i="3"/>
  <c r="BD64" i="3" s="1"/>
  <c r="J64" i="3"/>
  <c r="BU63" i="3"/>
  <c r="BH63" i="3"/>
  <c r="BB63" i="3"/>
  <c r="AN63" i="3"/>
  <c r="AV63" i="3" s="1"/>
  <c r="AM63" i="3"/>
  <c r="BF63" i="3" s="1"/>
  <c r="AB63" i="3" s="1"/>
  <c r="AI63" i="3"/>
  <c r="AH63" i="3"/>
  <c r="AF63" i="3"/>
  <c r="AE63" i="3"/>
  <c r="AD63" i="3"/>
  <c r="AA63" i="3"/>
  <c r="Z63" i="3"/>
  <c r="X63" i="3"/>
  <c r="M63" i="3"/>
  <c r="BD63" i="3" s="1"/>
  <c r="J63" i="3"/>
  <c r="AJ63" i="3" s="1"/>
  <c r="BU62" i="3"/>
  <c r="BH62" i="3"/>
  <c r="BB62" i="3"/>
  <c r="AN62" i="3"/>
  <c r="BG62" i="3" s="1"/>
  <c r="AC62" i="3" s="1"/>
  <c r="AM62" i="3"/>
  <c r="BF62" i="3" s="1"/>
  <c r="AB62" i="3" s="1"/>
  <c r="AI62" i="3"/>
  <c r="AH62" i="3"/>
  <c r="AF62" i="3"/>
  <c r="AE62" i="3"/>
  <c r="AD62" i="3"/>
  <c r="AA62" i="3"/>
  <c r="Z62" i="3"/>
  <c r="X62" i="3"/>
  <c r="M62" i="3"/>
  <c r="BD62" i="3" s="1"/>
  <c r="J62" i="3"/>
  <c r="AJ62" i="3" s="1"/>
  <c r="BU61" i="3"/>
  <c r="BH61" i="3"/>
  <c r="BB61" i="3"/>
  <c r="AN61" i="3"/>
  <c r="I61" i="3" s="1"/>
  <c r="AM61" i="3"/>
  <c r="AU61" i="3" s="1"/>
  <c r="AI61" i="3"/>
  <c r="AH61" i="3"/>
  <c r="AF61" i="3"/>
  <c r="AE61" i="3"/>
  <c r="AD61" i="3"/>
  <c r="AA61" i="3"/>
  <c r="Z61" i="3"/>
  <c r="X61" i="3"/>
  <c r="M61" i="3"/>
  <c r="BD61" i="3" s="1"/>
  <c r="J61" i="3"/>
  <c r="BU60" i="3"/>
  <c r="BH60" i="3"/>
  <c r="BB60" i="3"/>
  <c r="AN60" i="3"/>
  <c r="I60" i="3" s="1"/>
  <c r="AM60" i="3"/>
  <c r="AI60" i="3"/>
  <c r="AH60" i="3"/>
  <c r="AF60" i="3"/>
  <c r="AE60" i="3"/>
  <c r="AD60" i="3"/>
  <c r="AA60" i="3"/>
  <c r="Z60" i="3"/>
  <c r="X60" i="3"/>
  <c r="M60" i="3"/>
  <c r="BD60" i="3" s="1"/>
  <c r="J60" i="3"/>
  <c r="AJ60" i="3" s="1"/>
  <c r="BU58" i="3"/>
  <c r="BH58" i="3"/>
  <c r="X58" i="3" s="1"/>
  <c r="BB58" i="3"/>
  <c r="AN58" i="3"/>
  <c r="BG58" i="3" s="1"/>
  <c r="AM58" i="3"/>
  <c r="AU58" i="3" s="1"/>
  <c r="AI58" i="3"/>
  <c r="AH58" i="3"/>
  <c r="AF58" i="3"/>
  <c r="AE58" i="3"/>
  <c r="AD58" i="3"/>
  <c r="AC58" i="3"/>
  <c r="AB58" i="3"/>
  <c r="AA58" i="3"/>
  <c r="Z58" i="3"/>
  <c r="M58" i="3"/>
  <c r="BD58" i="3" s="1"/>
  <c r="J58" i="3"/>
  <c r="AJ58" i="3" s="1"/>
  <c r="BU56" i="3"/>
  <c r="BH56" i="3"/>
  <c r="BB56" i="3"/>
  <c r="AN56" i="3"/>
  <c r="AM56" i="3"/>
  <c r="AI56" i="3"/>
  <c r="AH56" i="3"/>
  <c r="AF56" i="3"/>
  <c r="AE56" i="3"/>
  <c r="AD56" i="3"/>
  <c r="AC56" i="3"/>
  <c r="AB56" i="3"/>
  <c r="X56" i="3"/>
  <c r="M56" i="3"/>
  <c r="BD56" i="3" s="1"/>
  <c r="J56" i="3"/>
  <c r="BU55" i="3"/>
  <c r="BH55" i="3"/>
  <c r="BB55" i="3"/>
  <c r="AN55" i="3"/>
  <c r="BG55" i="3" s="1"/>
  <c r="AA55" i="3" s="1"/>
  <c r="AM55" i="3"/>
  <c r="BF55" i="3" s="1"/>
  <c r="Z55" i="3" s="1"/>
  <c r="AI55" i="3"/>
  <c r="AH55" i="3"/>
  <c r="AF55" i="3"/>
  <c r="AE55" i="3"/>
  <c r="AD55" i="3"/>
  <c r="AC55" i="3"/>
  <c r="AB55" i="3"/>
  <c r="X55" i="3"/>
  <c r="M55" i="3"/>
  <c r="BD55" i="3" s="1"/>
  <c r="J55" i="3"/>
  <c r="AJ55" i="3" s="1"/>
  <c r="BU54" i="3"/>
  <c r="BH54" i="3"/>
  <c r="BB54" i="3"/>
  <c r="AN54" i="3"/>
  <c r="BG54" i="3" s="1"/>
  <c r="AA54" i="3" s="1"/>
  <c r="AM54" i="3"/>
  <c r="AU54" i="3" s="1"/>
  <c r="AI54" i="3"/>
  <c r="AH54" i="3"/>
  <c r="AF54" i="3"/>
  <c r="AE54" i="3"/>
  <c r="AD54" i="3"/>
  <c r="AC54" i="3"/>
  <c r="AB54" i="3"/>
  <c r="X54" i="3"/>
  <c r="M54" i="3"/>
  <c r="BD54" i="3" s="1"/>
  <c r="J54" i="3"/>
  <c r="AJ54" i="3" s="1"/>
  <c r="BU53" i="3"/>
  <c r="BH53" i="3"/>
  <c r="BB53" i="3"/>
  <c r="AN53" i="3"/>
  <c r="AM53" i="3"/>
  <c r="BF53" i="3" s="1"/>
  <c r="Z53" i="3" s="1"/>
  <c r="AI53" i="3"/>
  <c r="AH53" i="3"/>
  <c r="AF53" i="3"/>
  <c r="AE53" i="3"/>
  <c r="AD53" i="3"/>
  <c r="AC53" i="3"/>
  <c r="AB53" i="3"/>
  <c r="X53" i="3"/>
  <c r="M53" i="3"/>
  <c r="BD53" i="3" s="1"/>
  <c r="J53" i="3"/>
  <c r="AJ53" i="3" s="1"/>
  <c r="BU52" i="3"/>
  <c r="BH52" i="3"/>
  <c r="BB52" i="3"/>
  <c r="AN52" i="3"/>
  <c r="BG52" i="3" s="1"/>
  <c r="AA52" i="3" s="1"/>
  <c r="AM52" i="3"/>
  <c r="H52" i="3" s="1"/>
  <c r="AI52" i="3"/>
  <c r="AH52" i="3"/>
  <c r="AF52" i="3"/>
  <c r="AE52" i="3"/>
  <c r="AD52" i="3"/>
  <c r="AC52" i="3"/>
  <c r="AB52" i="3"/>
  <c r="X52" i="3"/>
  <c r="M52" i="3"/>
  <c r="BD52" i="3" s="1"/>
  <c r="J52" i="3"/>
  <c r="BU51" i="3"/>
  <c r="BH51" i="3"/>
  <c r="BB51" i="3"/>
  <c r="AN51" i="3"/>
  <c r="AM51" i="3"/>
  <c r="AI51" i="3"/>
  <c r="AH51" i="3"/>
  <c r="AF51" i="3"/>
  <c r="AE51" i="3"/>
  <c r="AD51" i="3"/>
  <c r="AC51" i="3"/>
  <c r="AB51" i="3"/>
  <c r="X51" i="3"/>
  <c r="M51" i="3"/>
  <c r="BD51" i="3" s="1"/>
  <c r="J51" i="3"/>
  <c r="AJ51" i="3" s="1"/>
  <c r="BU50" i="3"/>
  <c r="BH50" i="3"/>
  <c r="BB50" i="3"/>
  <c r="AN50" i="3"/>
  <c r="BG50" i="3" s="1"/>
  <c r="AA50" i="3" s="1"/>
  <c r="AM50" i="3"/>
  <c r="BF50" i="3" s="1"/>
  <c r="Z50" i="3" s="1"/>
  <c r="AI50" i="3"/>
  <c r="AH50" i="3"/>
  <c r="AF50" i="3"/>
  <c r="AE50" i="3"/>
  <c r="AD50" i="3"/>
  <c r="AC50" i="3"/>
  <c r="AB50" i="3"/>
  <c r="X50" i="3"/>
  <c r="M50" i="3"/>
  <c r="BD50" i="3" s="1"/>
  <c r="J50" i="3"/>
  <c r="AJ50" i="3" s="1"/>
  <c r="BU49" i="3"/>
  <c r="BH49" i="3"/>
  <c r="BB49" i="3"/>
  <c r="AN49" i="3"/>
  <c r="BG49" i="3" s="1"/>
  <c r="AA49" i="3" s="1"/>
  <c r="AM49" i="3"/>
  <c r="AI49" i="3"/>
  <c r="AH49" i="3"/>
  <c r="AF49" i="3"/>
  <c r="AE49" i="3"/>
  <c r="AD49" i="3"/>
  <c r="AC49" i="3"/>
  <c r="AB49" i="3"/>
  <c r="X49" i="3"/>
  <c r="M49" i="3"/>
  <c r="BD49" i="3" s="1"/>
  <c r="J49" i="3"/>
  <c r="BU48" i="3"/>
  <c r="BH48" i="3"/>
  <c r="BB48" i="3"/>
  <c r="AN48" i="3"/>
  <c r="BG48" i="3" s="1"/>
  <c r="AA48" i="3" s="1"/>
  <c r="AM48" i="3"/>
  <c r="BF48" i="3" s="1"/>
  <c r="Z48" i="3" s="1"/>
  <c r="AI48" i="3"/>
  <c r="AH48" i="3"/>
  <c r="AF48" i="3"/>
  <c r="AE48" i="3"/>
  <c r="AD48" i="3"/>
  <c r="AC48" i="3"/>
  <c r="AB48" i="3"/>
  <c r="X48" i="3"/>
  <c r="M48" i="3"/>
  <c r="BD48" i="3" s="1"/>
  <c r="J48" i="3"/>
  <c r="BU46" i="3"/>
  <c r="BH46" i="3"/>
  <c r="BB46" i="3"/>
  <c r="AN46" i="3"/>
  <c r="AM46" i="3"/>
  <c r="H46" i="3" s="1"/>
  <c r="AI46" i="3"/>
  <c r="AH46" i="3"/>
  <c r="AF46" i="3"/>
  <c r="AE46" i="3"/>
  <c r="AD46" i="3"/>
  <c r="AA46" i="3"/>
  <c r="Z46" i="3"/>
  <c r="X46" i="3"/>
  <c r="M46" i="3"/>
  <c r="BD46" i="3" s="1"/>
  <c r="J46" i="3"/>
  <c r="AJ46" i="3" s="1"/>
  <c r="BU45" i="3"/>
  <c r="BH45" i="3"/>
  <c r="BB45" i="3"/>
  <c r="AN45" i="3"/>
  <c r="AM45" i="3"/>
  <c r="AI45" i="3"/>
  <c r="AH45" i="3"/>
  <c r="AF45" i="3"/>
  <c r="AE45" i="3"/>
  <c r="AD45" i="3"/>
  <c r="AA45" i="3"/>
  <c r="Z45" i="3"/>
  <c r="X45" i="3"/>
  <c r="M45" i="3"/>
  <c r="BD45" i="3" s="1"/>
  <c r="J45" i="3"/>
  <c r="AJ45" i="3" s="1"/>
  <c r="BU44" i="3"/>
  <c r="BH44" i="3"/>
  <c r="BB44" i="3"/>
  <c r="AN44" i="3"/>
  <c r="AV44" i="3" s="1"/>
  <c r="AM44" i="3"/>
  <c r="H44" i="3" s="1"/>
  <c r="AI44" i="3"/>
  <c r="AH44" i="3"/>
  <c r="AF44" i="3"/>
  <c r="AE44" i="3"/>
  <c r="AD44" i="3"/>
  <c r="AA44" i="3"/>
  <c r="Z44" i="3"/>
  <c r="X44" i="3"/>
  <c r="M44" i="3"/>
  <c r="BD44" i="3" s="1"/>
  <c r="J44" i="3"/>
  <c r="AJ44" i="3" s="1"/>
  <c r="BU43" i="3"/>
  <c r="BH43" i="3"/>
  <c r="BB43" i="3"/>
  <c r="AN43" i="3"/>
  <c r="AM43" i="3"/>
  <c r="AI43" i="3"/>
  <c r="AH43" i="3"/>
  <c r="AF43" i="3"/>
  <c r="AE43" i="3"/>
  <c r="AD43" i="3"/>
  <c r="AA43" i="3"/>
  <c r="Z43" i="3"/>
  <c r="X43" i="3"/>
  <c r="M43" i="3"/>
  <c r="J43" i="3"/>
  <c r="BU41" i="3"/>
  <c r="BH41" i="3"/>
  <c r="X41" i="3" s="1"/>
  <c r="BB41" i="3"/>
  <c r="AN41" i="3"/>
  <c r="AM41" i="3"/>
  <c r="AI41" i="3"/>
  <c r="AH41" i="3"/>
  <c r="AF41" i="3"/>
  <c r="AE41" i="3"/>
  <c r="AD41" i="3"/>
  <c r="AC41" i="3"/>
  <c r="AB41" i="3"/>
  <c r="AA41" i="3"/>
  <c r="Z41" i="3"/>
  <c r="M41" i="3"/>
  <c r="BD41" i="3" s="1"/>
  <c r="J41" i="3"/>
  <c r="AJ41" i="3" s="1"/>
  <c r="BU40" i="3"/>
  <c r="BH40" i="3"/>
  <c r="BB40" i="3"/>
  <c r="AN40" i="3"/>
  <c r="BG40" i="3" s="1"/>
  <c r="AC40" i="3" s="1"/>
  <c r="AM40" i="3"/>
  <c r="AU40" i="3" s="1"/>
  <c r="AI40" i="3"/>
  <c r="AH40" i="3"/>
  <c r="AF40" i="3"/>
  <c r="AE40" i="3"/>
  <c r="AD40" i="3"/>
  <c r="AA40" i="3"/>
  <c r="Z40" i="3"/>
  <c r="X40" i="3"/>
  <c r="M40" i="3"/>
  <c r="BD40" i="3" s="1"/>
  <c r="J40" i="3"/>
  <c r="BU39" i="3"/>
  <c r="BH39" i="3"/>
  <c r="BB39" i="3"/>
  <c r="AN39" i="3"/>
  <c r="AM39" i="3"/>
  <c r="AU39" i="3" s="1"/>
  <c r="AI39" i="3"/>
  <c r="AH39" i="3"/>
  <c r="AF39" i="3"/>
  <c r="AE39" i="3"/>
  <c r="AD39" i="3"/>
  <c r="AA39" i="3"/>
  <c r="Z39" i="3"/>
  <c r="X39" i="3"/>
  <c r="M39" i="3"/>
  <c r="BD39" i="3" s="1"/>
  <c r="J39" i="3"/>
  <c r="AJ39" i="3" s="1"/>
  <c r="BU38" i="3"/>
  <c r="BH38" i="3"/>
  <c r="BB38" i="3"/>
  <c r="AN38" i="3"/>
  <c r="BG38" i="3" s="1"/>
  <c r="AC38" i="3" s="1"/>
  <c r="AM38" i="3"/>
  <c r="AU38" i="3" s="1"/>
  <c r="AI38" i="3"/>
  <c r="AH38" i="3"/>
  <c r="AF38" i="3"/>
  <c r="AE38" i="3"/>
  <c r="AD38" i="3"/>
  <c r="AA38" i="3"/>
  <c r="Z38" i="3"/>
  <c r="X38" i="3"/>
  <c r="M38" i="3"/>
  <c r="BD38" i="3" s="1"/>
  <c r="J38" i="3"/>
  <c r="BU37" i="3"/>
  <c r="BH37" i="3"/>
  <c r="BB37" i="3"/>
  <c r="AN37" i="3"/>
  <c r="AV37" i="3" s="1"/>
  <c r="AM37" i="3"/>
  <c r="H37" i="3" s="1"/>
  <c r="AI37" i="3"/>
  <c r="AH37" i="3"/>
  <c r="AF37" i="3"/>
  <c r="AE37" i="3"/>
  <c r="AD37" i="3"/>
  <c r="AA37" i="3"/>
  <c r="Z37" i="3"/>
  <c r="X37" i="3"/>
  <c r="M37" i="3"/>
  <c r="BD37" i="3" s="1"/>
  <c r="J37" i="3"/>
  <c r="AJ37" i="3" s="1"/>
  <c r="BU36" i="3"/>
  <c r="BH36" i="3"/>
  <c r="BB36" i="3"/>
  <c r="AN36" i="3"/>
  <c r="BG36" i="3" s="1"/>
  <c r="AC36" i="3" s="1"/>
  <c r="AM36" i="3"/>
  <c r="AU36" i="3" s="1"/>
  <c r="AI36" i="3"/>
  <c r="AH36" i="3"/>
  <c r="AF36" i="3"/>
  <c r="AE36" i="3"/>
  <c r="AD36" i="3"/>
  <c r="AA36" i="3"/>
  <c r="Z36" i="3"/>
  <c r="X36" i="3"/>
  <c r="M36" i="3"/>
  <c r="BD36" i="3" s="1"/>
  <c r="J36" i="3"/>
  <c r="AJ36" i="3" s="1"/>
  <c r="BU35" i="3"/>
  <c r="BH35" i="3"/>
  <c r="BB35" i="3"/>
  <c r="AN35" i="3"/>
  <c r="BG35" i="3" s="1"/>
  <c r="AC35" i="3" s="1"/>
  <c r="AM35" i="3"/>
  <c r="BF35" i="3" s="1"/>
  <c r="AB35" i="3" s="1"/>
  <c r="AI35" i="3"/>
  <c r="AH35" i="3"/>
  <c r="AF35" i="3"/>
  <c r="AE35" i="3"/>
  <c r="AD35" i="3"/>
  <c r="AA35" i="3"/>
  <c r="Z35" i="3"/>
  <c r="X35" i="3"/>
  <c r="M35" i="3"/>
  <c r="BD35" i="3" s="1"/>
  <c r="J35" i="3"/>
  <c r="AJ35" i="3" s="1"/>
  <c r="BU34" i="3"/>
  <c r="BH34" i="3"/>
  <c r="BB34" i="3"/>
  <c r="AN34" i="3"/>
  <c r="AM34" i="3"/>
  <c r="AU34" i="3" s="1"/>
  <c r="AI34" i="3"/>
  <c r="AH34" i="3"/>
  <c r="AF34" i="3"/>
  <c r="AE34" i="3"/>
  <c r="AD34" i="3"/>
  <c r="AA34" i="3"/>
  <c r="Z34" i="3"/>
  <c r="X34" i="3"/>
  <c r="M34" i="3"/>
  <c r="BD34" i="3" s="1"/>
  <c r="J34" i="3"/>
  <c r="AJ34" i="3" s="1"/>
  <c r="BU33" i="3"/>
  <c r="BH33" i="3"/>
  <c r="BB33" i="3"/>
  <c r="AN33" i="3"/>
  <c r="BG33" i="3" s="1"/>
  <c r="AC33" i="3" s="1"/>
  <c r="AM33" i="3"/>
  <c r="BF33" i="3" s="1"/>
  <c r="AB33" i="3" s="1"/>
  <c r="AI33" i="3"/>
  <c r="AH33" i="3"/>
  <c r="AF33" i="3"/>
  <c r="AE33" i="3"/>
  <c r="AD33" i="3"/>
  <c r="AA33" i="3"/>
  <c r="Z33" i="3"/>
  <c r="X33" i="3"/>
  <c r="M33" i="3"/>
  <c r="BD33" i="3" s="1"/>
  <c r="J33" i="3"/>
  <c r="AJ33" i="3" s="1"/>
  <c r="BU32" i="3"/>
  <c r="BH32" i="3"/>
  <c r="BB32" i="3"/>
  <c r="AN32" i="3"/>
  <c r="BG32" i="3" s="1"/>
  <c r="AC32" i="3" s="1"/>
  <c r="AM32" i="3"/>
  <c r="AU32" i="3" s="1"/>
  <c r="AI32" i="3"/>
  <c r="AH32" i="3"/>
  <c r="AF32" i="3"/>
  <c r="AE32" i="3"/>
  <c r="AD32" i="3"/>
  <c r="AA32" i="3"/>
  <c r="Z32" i="3"/>
  <c r="X32" i="3"/>
  <c r="M32" i="3"/>
  <c r="BD32" i="3" s="1"/>
  <c r="J32" i="3"/>
  <c r="AJ32" i="3" s="1"/>
  <c r="BU31" i="3"/>
  <c r="BH31" i="3"/>
  <c r="BB31" i="3"/>
  <c r="AN31" i="3"/>
  <c r="AM31" i="3"/>
  <c r="AI31" i="3"/>
  <c r="AH31" i="3"/>
  <c r="AF31" i="3"/>
  <c r="AE31" i="3"/>
  <c r="AD31" i="3"/>
  <c r="AA31" i="3"/>
  <c r="Z31" i="3"/>
  <c r="X31" i="3"/>
  <c r="M31" i="3"/>
  <c r="BD31" i="3" s="1"/>
  <c r="J31" i="3"/>
  <c r="AJ31" i="3" s="1"/>
  <c r="BU30" i="3"/>
  <c r="BH30" i="3"/>
  <c r="BB30" i="3"/>
  <c r="AN30" i="3"/>
  <c r="AV30" i="3" s="1"/>
  <c r="AM30" i="3"/>
  <c r="AU30" i="3" s="1"/>
  <c r="AI30" i="3"/>
  <c r="AH30" i="3"/>
  <c r="AF30" i="3"/>
  <c r="AE30" i="3"/>
  <c r="AD30" i="3"/>
  <c r="AA30" i="3"/>
  <c r="Z30" i="3"/>
  <c r="X30" i="3"/>
  <c r="M30" i="3"/>
  <c r="BD30" i="3" s="1"/>
  <c r="J30" i="3"/>
  <c r="AJ30" i="3" s="1"/>
  <c r="BU28" i="3"/>
  <c r="BH28" i="3"/>
  <c r="BB28" i="3"/>
  <c r="AN28" i="3"/>
  <c r="BG28" i="3" s="1"/>
  <c r="AC28" i="3" s="1"/>
  <c r="AM28" i="3"/>
  <c r="AU28" i="3" s="1"/>
  <c r="AI28" i="3"/>
  <c r="AH28" i="3"/>
  <c r="AF28" i="3"/>
  <c r="AE28" i="3"/>
  <c r="AD28" i="3"/>
  <c r="AA28" i="3"/>
  <c r="Z28" i="3"/>
  <c r="X28" i="3"/>
  <c r="M28" i="3"/>
  <c r="BD28" i="3" s="1"/>
  <c r="J28" i="3"/>
  <c r="AJ28" i="3" s="1"/>
  <c r="BU26" i="3"/>
  <c r="BH26" i="3"/>
  <c r="BB26" i="3"/>
  <c r="AN26" i="3"/>
  <c r="BG26" i="3" s="1"/>
  <c r="AC26" i="3" s="1"/>
  <c r="AM26" i="3"/>
  <c r="BF26" i="3" s="1"/>
  <c r="AB26" i="3" s="1"/>
  <c r="AI26" i="3"/>
  <c r="AH26" i="3"/>
  <c r="AF26" i="3"/>
  <c r="AE26" i="3"/>
  <c r="AD26" i="3"/>
  <c r="AA26" i="3"/>
  <c r="Z26" i="3"/>
  <c r="X26" i="3"/>
  <c r="M26" i="3"/>
  <c r="BD26" i="3" s="1"/>
  <c r="J26" i="3"/>
  <c r="AJ26" i="3" s="1"/>
  <c r="BU25" i="3"/>
  <c r="BH25" i="3"/>
  <c r="BB25" i="3"/>
  <c r="AN25" i="3"/>
  <c r="BG25" i="3" s="1"/>
  <c r="AC25" i="3" s="1"/>
  <c r="AM25" i="3"/>
  <c r="AI25" i="3"/>
  <c r="AH25" i="3"/>
  <c r="AF25" i="3"/>
  <c r="AE25" i="3"/>
  <c r="AD25" i="3"/>
  <c r="AA25" i="3"/>
  <c r="Z25" i="3"/>
  <c r="X25" i="3"/>
  <c r="M25" i="3"/>
  <c r="BD25" i="3" s="1"/>
  <c r="J25" i="3"/>
  <c r="BU22" i="3"/>
  <c r="BH22" i="3"/>
  <c r="X22" i="3" s="1"/>
  <c r="BB22" i="3"/>
  <c r="AN22" i="3"/>
  <c r="BG22" i="3" s="1"/>
  <c r="AM22" i="3"/>
  <c r="AU22" i="3" s="1"/>
  <c r="AI22" i="3"/>
  <c r="AH22" i="3"/>
  <c r="AF22" i="3"/>
  <c r="AE22" i="3"/>
  <c r="AD22" i="3"/>
  <c r="AC22" i="3"/>
  <c r="AB22" i="3"/>
  <c r="AA22" i="3"/>
  <c r="Z22" i="3"/>
  <c r="M22" i="3"/>
  <c r="BD22" i="3" s="1"/>
  <c r="J22" i="3"/>
  <c r="AJ22" i="3" s="1"/>
  <c r="BU21" i="3"/>
  <c r="BH21" i="3"/>
  <c r="BB21" i="3"/>
  <c r="AN21" i="3"/>
  <c r="BG21" i="3" s="1"/>
  <c r="AC21" i="3" s="1"/>
  <c r="AM21" i="3"/>
  <c r="BF21" i="3" s="1"/>
  <c r="AB21" i="3" s="1"/>
  <c r="AI21" i="3"/>
  <c r="AH21" i="3"/>
  <c r="AF21" i="3"/>
  <c r="AE21" i="3"/>
  <c r="AD21" i="3"/>
  <c r="AA21" i="3"/>
  <c r="Z21" i="3"/>
  <c r="X21" i="3"/>
  <c r="M21" i="3"/>
  <c r="BD21" i="3" s="1"/>
  <c r="J21" i="3"/>
  <c r="AJ21" i="3" s="1"/>
  <c r="BU20" i="3"/>
  <c r="BH20" i="3"/>
  <c r="BB20" i="3"/>
  <c r="AN20" i="3"/>
  <c r="BG20" i="3" s="1"/>
  <c r="AC20" i="3" s="1"/>
  <c r="AM20" i="3"/>
  <c r="AI20" i="3"/>
  <c r="AH20" i="3"/>
  <c r="AF20" i="3"/>
  <c r="AE20" i="3"/>
  <c r="AD20" i="3"/>
  <c r="AA20" i="3"/>
  <c r="Z20" i="3"/>
  <c r="X20" i="3"/>
  <c r="M20" i="3"/>
  <c r="BD20" i="3" s="1"/>
  <c r="J20" i="3"/>
  <c r="BU19" i="3"/>
  <c r="BH19" i="3"/>
  <c r="BB19" i="3"/>
  <c r="AN19" i="3"/>
  <c r="BG19" i="3" s="1"/>
  <c r="AC19" i="3" s="1"/>
  <c r="AM19" i="3"/>
  <c r="BF19" i="3" s="1"/>
  <c r="AB19" i="3" s="1"/>
  <c r="AI19" i="3"/>
  <c r="AH19" i="3"/>
  <c r="AF19" i="3"/>
  <c r="AE19" i="3"/>
  <c r="AD19" i="3"/>
  <c r="AA19" i="3"/>
  <c r="Z19" i="3"/>
  <c r="X19" i="3"/>
  <c r="M19" i="3"/>
  <c r="BD19" i="3" s="1"/>
  <c r="J19" i="3"/>
  <c r="AJ19" i="3" s="1"/>
  <c r="BU18" i="3"/>
  <c r="BH18" i="3"/>
  <c r="BB18" i="3"/>
  <c r="AN18" i="3"/>
  <c r="BG18" i="3" s="1"/>
  <c r="AC18" i="3" s="1"/>
  <c r="AM18" i="3"/>
  <c r="H18" i="3" s="1"/>
  <c r="AI18" i="3"/>
  <c r="AH18" i="3"/>
  <c r="AF18" i="3"/>
  <c r="AE18" i="3"/>
  <c r="AD18" i="3"/>
  <c r="AA18" i="3"/>
  <c r="Z18" i="3"/>
  <c r="X18" i="3"/>
  <c r="M18" i="3"/>
  <c r="BD18" i="3" s="1"/>
  <c r="J18" i="3"/>
  <c r="BU17" i="3"/>
  <c r="BH17" i="3"/>
  <c r="BB17" i="3"/>
  <c r="AN17" i="3"/>
  <c r="AM17" i="3"/>
  <c r="AI17" i="3"/>
  <c r="AH17" i="3"/>
  <c r="AF17" i="3"/>
  <c r="AE17" i="3"/>
  <c r="AD17" i="3"/>
  <c r="AA17" i="3"/>
  <c r="Z17" i="3"/>
  <c r="X17" i="3"/>
  <c r="M17" i="3"/>
  <c r="BD17" i="3" s="1"/>
  <c r="J17" i="3"/>
  <c r="AJ17" i="3" s="1"/>
  <c r="BU16" i="3"/>
  <c r="BH16" i="3"/>
  <c r="BB16" i="3"/>
  <c r="AN16" i="3"/>
  <c r="BG16" i="3" s="1"/>
  <c r="AC16" i="3" s="1"/>
  <c r="AM16" i="3"/>
  <c r="AU16" i="3" s="1"/>
  <c r="AI16" i="3"/>
  <c r="AH16" i="3"/>
  <c r="AF16" i="3"/>
  <c r="AE16" i="3"/>
  <c r="AD16" i="3"/>
  <c r="AA16" i="3"/>
  <c r="Z16" i="3"/>
  <c r="X16" i="3"/>
  <c r="M16" i="3"/>
  <c r="BD16" i="3" s="1"/>
  <c r="J16" i="3"/>
  <c r="AJ16" i="3" s="1"/>
  <c r="BU15" i="3"/>
  <c r="BH15" i="3"/>
  <c r="BB15" i="3"/>
  <c r="AN15" i="3"/>
  <c r="AM15" i="3"/>
  <c r="AU15" i="3" s="1"/>
  <c r="AI15" i="3"/>
  <c r="AH15" i="3"/>
  <c r="AF15" i="3"/>
  <c r="AE15" i="3"/>
  <c r="AD15" i="3"/>
  <c r="AA15" i="3"/>
  <c r="Z15" i="3"/>
  <c r="X15" i="3"/>
  <c r="M15" i="3"/>
  <c r="BD15" i="3" s="1"/>
  <c r="J15" i="3"/>
  <c r="AJ15" i="3" s="1"/>
  <c r="BU14" i="3"/>
  <c r="BH14" i="3"/>
  <c r="BB14" i="3"/>
  <c r="AN14" i="3"/>
  <c r="BG14" i="3" s="1"/>
  <c r="AC14" i="3" s="1"/>
  <c r="AM14" i="3"/>
  <c r="AU14" i="3" s="1"/>
  <c r="AI14" i="3"/>
  <c r="AH14" i="3"/>
  <c r="AF14" i="3"/>
  <c r="AE14" i="3"/>
  <c r="AD14" i="3"/>
  <c r="AA14" i="3"/>
  <c r="Z14" i="3"/>
  <c r="X14" i="3"/>
  <c r="M14" i="3"/>
  <c r="BD14" i="3" s="1"/>
  <c r="J14" i="3"/>
  <c r="AJ14" i="3" s="1"/>
  <c r="BU13" i="3"/>
  <c r="BH13" i="3"/>
  <c r="BB13" i="3"/>
  <c r="AN13" i="3"/>
  <c r="BG13" i="3" s="1"/>
  <c r="AC13" i="3" s="1"/>
  <c r="AM13" i="3"/>
  <c r="BF13" i="3" s="1"/>
  <c r="AB13" i="3" s="1"/>
  <c r="AI13" i="3"/>
  <c r="AH13" i="3"/>
  <c r="AF13" i="3"/>
  <c r="AE13" i="3"/>
  <c r="AD13" i="3"/>
  <c r="AA13" i="3"/>
  <c r="Z13" i="3"/>
  <c r="X13" i="3"/>
  <c r="M13" i="3"/>
  <c r="BD13" i="3" s="1"/>
  <c r="J13" i="3"/>
  <c r="AJ13" i="3" s="1"/>
  <c r="BU12" i="3"/>
  <c r="BH12" i="3"/>
  <c r="BB12" i="3"/>
  <c r="AN12" i="3"/>
  <c r="AM12" i="3"/>
  <c r="AU12" i="3" s="1"/>
  <c r="AI12" i="3"/>
  <c r="AH12" i="3"/>
  <c r="AF12" i="3"/>
  <c r="AE12" i="3"/>
  <c r="AD12" i="3"/>
  <c r="AA12" i="3"/>
  <c r="Z12" i="3"/>
  <c r="X12" i="3"/>
  <c r="M12" i="3"/>
  <c r="BD12" i="3" s="1"/>
  <c r="J12" i="3"/>
  <c r="AJ12" i="3" s="1"/>
  <c r="BU11" i="3"/>
  <c r="BH11" i="3"/>
  <c r="BB11" i="3"/>
  <c r="AN11" i="3"/>
  <c r="BG11" i="3" s="1"/>
  <c r="AC11" i="3" s="1"/>
  <c r="AM11" i="3"/>
  <c r="BF11" i="3" s="1"/>
  <c r="AB11" i="3" s="1"/>
  <c r="AI11" i="3"/>
  <c r="AH11" i="3"/>
  <c r="AF11" i="3"/>
  <c r="AE11" i="3"/>
  <c r="AD11" i="3"/>
  <c r="AA11" i="3"/>
  <c r="Z11" i="3"/>
  <c r="X11" i="3"/>
  <c r="M11" i="3"/>
  <c r="BD11" i="3" s="1"/>
  <c r="J11" i="3"/>
  <c r="AJ11" i="3" s="1"/>
  <c r="I36" i="2"/>
  <c r="I35" i="2"/>
  <c r="I26" i="2"/>
  <c r="I25" i="2"/>
  <c r="I24" i="2"/>
  <c r="I23" i="2"/>
  <c r="I22" i="2"/>
  <c r="I21" i="2"/>
  <c r="I17" i="2"/>
  <c r="I16" i="2"/>
  <c r="I15" i="2"/>
  <c r="I18" i="2" s="1"/>
  <c r="I10" i="2"/>
  <c r="F10" i="2"/>
  <c r="C10" i="2"/>
  <c r="F8" i="2"/>
  <c r="C8" i="2"/>
  <c r="F6" i="2"/>
  <c r="C6" i="2"/>
  <c r="F4" i="2"/>
  <c r="C4" i="2"/>
  <c r="F2" i="2"/>
  <c r="C2" i="2"/>
  <c r="I119" i="3" l="1"/>
  <c r="BA74" i="3"/>
  <c r="I129" i="3"/>
  <c r="BG124" i="3"/>
  <c r="AC124" i="3" s="1"/>
  <c r="I127" i="3"/>
  <c r="I124" i="3"/>
  <c r="I109" i="3"/>
  <c r="BG105" i="3"/>
  <c r="AC105" i="3" s="1"/>
  <c r="I105" i="3"/>
  <c r="H13" i="3"/>
  <c r="BF14" i="3"/>
  <c r="AB14" i="3" s="1"/>
  <c r="I14" i="3"/>
  <c r="I79" i="3"/>
  <c r="BG79" i="3"/>
  <c r="AC79" i="3" s="1"/>
  <c r="AT79" i="3"/>
  <c r="H14" i="3"/>
  <c r="AJ66" i="3"/>
  <c r="I100" i="3"/>
  <c r="I18" i="3"/>
  <c r="H19" i="3"/>
  <c r="AU119" i="3"/>
  <c r="BF79" i="3"/>
  <c r="AB79" i="3" s="1"/>
  <c r="H119" i="3"/>
  <c r="AV119" i="3"/>
  <c r="BF124" i="3"/>
  <c r="AB124" i="3" s="1"/>
  <c r="I19" i="3"/>
  <c r="H58" i="3"/>
  <c r="AV62" i="3"/>
  <c r="AV94" i="3"/>
  <c r="H150" i="3"/>
  <c r="BG154" i="3"/>
  <c r="AA154" i="3" s="1"/>
  <c r="BA64" i="3"/>
  <c r="AU78" i="3"/>
  <c r="BA78" i="3" s="1"/>
  <c r="I58" i="3"/>
  <c r="BF68" i="3"/>
  <c r="AB68" i="3" s="1"/>
  <c r="BG74" i="3"/>
  <c r="AC74" i="3" s="1"/>
  <c r="AV100" i="3"/>
  <c r="I150" i="3"/>
  <c r="I154" i="3"/>
  <c r="AV19" i="3"/>
  <c r="M47" i="3"/>
  <c r="AV68" i="3"/>
  <c r="H62" i="3"/>
  <c r="BF78" i="3"/>
  <c r="AB78" i="3" s="1"/>
  <c r="H94" i="3"/>
  <c r="I143" i="3"/>
  <c r="H145" i="3"/>
  <c r="AJ118" i="3"/>
  <c r="AV150" i="3"/>
  <c r="I62" i="3"/>
  <c r="I94" i="3"/>
  <c r="H100" i="3"/>
  <c r="BF105" i="3"/>
  <c r="AB105" i="3" s="1"/>
  <c r="I95" i="3"/>
  <c r="H114" i="3"/>
  <c r="AV38" i="3"/>
  <c r="BA38" i="3" s="1"/>
  <c r="AU65" i="3"/>
  <c r="AV114" i="3"/>
  <c r="AU44" i="3"/>
  <c r="BA44" i="3" s="1"/>
  <c r="AU91" i="3"/>
  <c r="BF120" i="3"/>
  <c r="AB120" i="3" s="1"/>
  <c r="H38" i="3"/>
  <c r="BF58" i="3"/>
  <c r="H133" i="3"/>
  <c r="H11" i="3"/>
  <c r="BF12" i="3"/>
  <c r="AB12" i="3" s="1"/>
  <c r="AU13" i="3"/>
  <c r="I16" i="3"/>
  <c r="BF16" i="3"/>
  <c r="AB16" i="3" s="1"/>
  <c r="AV18" i="3"/>
  <c r="AV26" i="3"/>
  <c r="I38" i="3"/>
  <c r="BF44" i="3"/>
  <c r="AB44" i="3" s="1"/>
  <c r="AJ64" i="3"/>
  <c r="BG78" i="3"/>
  <c r="AC78" i="3" s="1"/>
  <c r="H82" i="3"/>
  <c r="H91" i="3"/>
  <c r="BG95" i="3"/>
  <c r="AE95" i="3" s="1"/>
  <c r="AU103" i="3"/>
  <c r="I114" i="3"/>
  <c r="I120" i="3"/>
  <c r="I133" i="3"/>
  <c r="BF133" i="3"/>
  <c r="AB133" i="3" s="1"/>
  <c r="AU11" i="3"/>
  <c r="AV58" i="3"/>
  <c r="BA58" i="3" s="1"/>
  <c r="BA66" i="3"/>
  <c r="AJ79" i="3"/>
  <c r="H32" i="3"/>
  <c r="BF32" i="3"/>
  <c r="AB32" i="3" s="1"/>
  <c r="I78" i="3"/>
  <c r="BG120" i="3"/>
  <c r="AC120" i="3" s="1"/>
  <c r="AJ20" i="3"/>
  <c r="H26" i="3"/>
  <c r="I44" i="3"/>
  <c r="BG44" i="3"/>
  <c r="AC44" i="3" s="1"/>
  <c r="BF54" i="3"/>
  <c r="Z54" i="3" s="1"/>
  <c r="AU68" i="3"/>
  <c r="AJ81" i="3"/>
  <c r="I82" i="3"/>
  <c r="H103" i="3"/>
  <c r="AV103" i="3"/>
  <c r="I117" i="3"/>
  <c r="BG133" i="3"/>
  <c r="AC133" i="3" s="1"/>
  <c r="BG139" i="3"/>
  <c r="AC139" i="3" s="1"/>
  <c r="AV16" i="3"/>
  <c r="BA16" i="3" s="1"/>
  <c r="H65" i="3"/>
  <c r="AU82" i="3"/>
  <c r="AU26" i="3"/>
  <c r="I88" i="3"/>
  <c r="BF95" i="3"/>
  <c r="AD95" i="3" s="1"/>
  <c r="I101" i="3"/>
  <c r="AV14" i="3"/>
  <c r="I26" i="3"/>
  <c r="H40" i="3"/>
  <c r="AQ42" i="3"/>
  <c r="H54" i="3"/>
  <c r="H61" i="3"/>
  <c r="BF61" i="3"/>
  <c r="AB61" i="3" s="1"/>
  <c r="AJ95" i="3"/>
  <c r="I103" i="3"/>
  <c r="H124" i="3"/>
  <c r="AU145" i="3"/>
  <c r="AU150" i="3"/>
  <c r="AT150" i="3" s="1"/>
  <c r="AV39" i="3"/>
  <c r="AT39" i="3" s="1"/>
  <c r="BG39" i="3"/>
  <c r="AC39" i="3" s="1"/>
  <c r="I39" i="3"/>
  <c r="BG111" i="3"/>
  <c r="AC111" i="3" s="1"/>
  <c r="I111" i="3"/>
  <c r="AV111" i="3"/>
  <c r="AT111" i="3" s="1"/>
  <c r="BG132" i="3"/>
  <c r="AC132" i="3" s="1"/>
  <c r="I132" i="3"/>
  <c r="AV132" i="3"/>
  <c r="BA132" i="3" s="1"/>
  <c r="H22" i="3"/>
  <c r="AT30" i="3"/>
  <c r="AJ82" i="3"/>
  <c r="AQ10" i="3"/>
  <c r="AV22" i="3"/>
  <c r="BA22" i="3" s="1"/>
  <c r="AJ61" i="3"/>
  <c r="AV13" i="3"/>
  <c r="AU20" i="3"/>
  <c r="BF20" i="3"/>
  <c r="AB20" i="3" s="1"/>
  <c r="AV25" i="3"/>
  <c r="AV32" i="3"/>
  <c r="BA32" i="3" s="1"/>
  <c r="BG43" i="3"/>
  <c r="AC43" i="3" s="1"/>
  <c r="I43" i="3"/>
  <c r="AV43" i="3"/>
  <c r="BF97" i="3"/>
  <c r="AB97" i="3" s="1"/>
  <c r="H97" i="3"/>
  <c r="AJ129" i="3"/>
  <c r="AJ136" i="3"/>
  <c r="I13" i="3"/>
  <c r="BF31" i="3"/>
  <c r="AB31" i="3" s="1"/>
  <c r="H31" i="3"/>
  <c r="I32" i="3"/>
  <c r="AV40" i="3"/>
  <c r="BA40" i="3" s="1"/>
  <c r="AJ48" i="3"/>
  <c r="BG60" i="3"/>
  <c r="AC60" i="3" s="1"/>
  <c r="AV60" i="3"/>
  <c r="BA79" i="3"/>
  <c r="I81" i="3"/>
  <c r="BG97" i="3"/>
  <c r="AC97" i="3" s="1"/>
  <c r="I97" i="3"/>
  <c r="AV97" i="3"/>
  <c r="AU118" i="3"/>
  <c r="BF118" i="3"/>
  <c r="AB118" i="3" s="1"/>
  <c r="BF125" i="3"/>
  <c r="AB125" i="3" s="1"/>
  <c r="AU125" i="3"/>
  <c r="H125" i="3"/>
  <c r="BG145" i="3"/>
  <c r="AC145" i="3" s="1"/>
  <c r="I145" i="3"/>
  <c r="AV11" i="3"/>
  <c r="AJ18" i="3"/>
  <c r="AV20" i="3"/>
  <c r="BG31" i="3"/>
  <c r="AC31" i="3" s="1"/>
  <c r="I31" i="3"/>
  <c r="BG34" i="3"/>
  <c r="AC34" i="3" s="1"/>
  <c r="I34" i="3"/>
  <c r="AV34" i="3"/>
  <c r="BA34" i="3" s="1"/>
  <c r="AV61" i="3"/>
  <c r="BA61" i="3" s="1"/>
  <c r="BG61" i="3"/>
  <c r="AC61" i="3" s="1"/>
  <c r="H64" i="3"/>
  <c r="BF72" i="3"/>
  <c r="AB72" i="3" s="1"/>
  <c r="H72" i="3"/>
  <c r="AJ74" i="3"/>
  <c r="H76" i="3"/>
  <c r="BF76" i="3"/>
  <c r="AB76" i="3" s="1"/>
  <c r="BF80" i="3"/>
  <c r="AB80" i="3" s="1"/>
  <c r="H80" i="3"/>
  <c r="AU80" i="3"/>
  <c r="AV83" i="3"/>
  <c r="BA83" i="3" s="1"/>
  <c r="I83" i="3"/>
  <c r="BG83" i="3"/>
  <c r="AC83" i="3" s="1"/>
  <c r="AJ88" i="3"/>
  <c r="BF107" i="3"/>
  <c r="AB107" i="3" s="1"/>
  <c r="H107" i="3"/>
  <c r="AU107" i="3"/>
  <c r="AV118" i="3"/>
  <c r="AT118" i="3" s="1"/>
  <c r="BG118" i="3"/>
  <c r="AC118" i="3" s="1"/>
  <c r="I118" i="3"/>
  <c r="AU126" i="3"/>
  <c r="BF126" i="3"/>
  <c r="AB126" i="3" s="1"/>
  <c r="H126" i="3"/>
  <c r="BF130" i="3"/>
  <c r="AB130" i="3" s="1"/>
  <c r="AU130" i="3"/>
  <c r="H130" i="3"/>
  <c r="AJ131" i="3"/>
  <c r="BF137" i="3"/>
  <c r="AB137" i="3" s="1"/>
  <c r="AU137" i="3"/>
  <c r="H137" i="3"/>
  <c r="BG12" i="3"/>
  <c r="AC12" i="3" s="1"/>
  <c r="I12" i="3"/>
  <c r="AV12" i="3"/>
  <c r="BA12" i="3" s="1"/>
  <c r="BF15" i="3"/>
  <c r="AB15" i="3" s="1"/>
  <c r="H15" i="3"/>
  <c r="AU18" i="3"/>
  <c r="BF18" i="3"/>
  <c r="AB18" i="3" s="1"/>
  <c r="I25" i="3"/>
  <c r="BF30" i="3"/>
  <c r="AB30" i="3" s="1"/>
  <c r="H30" i="3"/>
  <c r="AU31" i="3"/>
  <c r="AU45" i="3"/>
  <c r="H45" i="3"/>
  <c r="I55" i="3"/>
  <c r="BG72" i="3"/>
  <c r="AC72" i="3" s="1"/>
  <c r="I72" i="3"/>
  <c r="AV72" i="3"/>
  <c r="I80" i="3"/>
  <c r="AV80" i="3"/>
  <c r="AV82" i="3"/>
  <c r="AU97" i="3"/>
  <c r="AU99" i="3"/>
  <c r="BF99" i="3"/>
  <c r="AB99" i="3" s="1"/>
  <c r="BG107" i="3"/>
  <c r="AC107" i="3" s="1"/>
  <c r="I107" i="3"/>
  <c r="AV107" i="3"/>
  <c r="BF122" i="3"/>
  <c r="AB122" i="3" s="1"/>
  <c r="H122" i="3"/>
  <c r="AV126" i="3"/>
  <c r="BG126" i="3"/>
  <c r="AC126" i="3" s="1"/>
  <c r="I126" i="3"/>
  <c r="BG130" i="3"/>
  <c r="AC130" i="3" s="1"/>
  <c r="I130" i="3"/>
  <c r="AV130" i="3"/>
  <c r="BG137" i="3"/>
  <c r="AC137" i="3" s="1"/>
  <c r="AV137" i="3"/>
  <c r="I137" i="3"/>
  <c r="BF153" i="3"/>
  <c r="Z153" i="3" s="1"/>
  <c r="H153" i="3"/>
  <c r="AU153" i="3"/>
  <c r="AJ40" i="3"/>
  <c r="BF52" i="3"/>
  <c r="Z52" i="3" s="1"/>
  <c r="AU52" i="3"/>
  <c r="AU81" i="3"/>
  <c r="BF81" i="3"/>
  <c r="AB81" i="3" s="1"/>
  <c r="BG141" i="3"/>
  <c r="AC141" i="3" s="1"/>
  <c r="AV141" i="3"/>
  <c r="AT141" i="3" s="1"/>
  <c r="I141" i="3"/>
  <c r="AU25" i="3"/>
  <c r="BF25" i="3"/>
  <c r="AB25" i="3" s="1"/>
  <c r="BD43" i="3"/>
  <c r="M42" i="3"/>
  <c r="BF17" i="3"/>
  <c r="AB17" i="3" s="1"/>
  <c r="H17" i="3"/>
  <c r="AU17" i="3"/>
  <c r="I22" i="3"/>
  <c r="J23" i="3"/>
  <c r="AU43" i="3"/>
  <c r="H43" i="3"/>
  <c r="BG64" i="3"/>
  <c r="AC64" i="3" s="1"/>
  <c r="I64" i="3"/>
  <c r="BG76" i="3"/>
  <c r="AC76" i="3" s="1"/>
  <c r="AV76" i="3"/>
  <c r="BA76" i="3" s="1"/>
  <c r="I76" i="3"/>
  <c r="AV81" i="3"/>
  <c r="AR102" i="3"/>
  <c r="BG17" i="3"/>
  <c r="AC17" i="3" s="1"/>
  <c r="I17" i="3"/>
  <c r="AV17" i="3"/>
  <c r="AV55" i="3"/>
  <c r="BF60" i="3"/>
  <c r="AB60" i="3" s="1"/>
  <c r="H60" i="3"/>
  <c r="AU60" i="3"/>
  <c r="I66" i="3"/>
  <c r="H81" i="3"/>
  <c r="AJ89" i="3"/>
  <c r="AV116" i="3"/>
  <c r="BA116" i="3" s="1"/>
  <c r="BG116" i="3"/>
  <c r="AC116" i="3" s="1"/>
  <c r="BF117" i="3"/>
  <c r="AB117" i="3" s="1"/>
  <c r="H117" i="3"/>
  <c r="AU117" i="3"/>
  <c r="I11" i="3"/>
  <c r="BG15" i="3"/>
  <c r="AC15" i="3" s="1"/>
  <c r="I15" i="3"/>
  <c r="AV15" i="3"/>
  <c r="AT15" i="3" s="1"/>
  <c r="I20" i="3"/>
  <c r="AJ25" i="3"/>
  <c r="BG30" i="3"/>
  <c r="AC30" i="3" s="1"/>
  <c r="I30" i="3"/>
  <c r="AV31" i="3"/>
  <c r="BF34" i="3"/>
  <c r="AB34" i="3" s="1"/>
  <c r="H39" i="3"/>
  <c r="BF39" i="3"/>
  <c r="AB39" i="3" s="1"/>
  <c r="I40" i="3"/>
  <c r="BG45" i="3"/>
  <c r="AC45" i="3" s="1"/>
  <c r="I45" i="3"/>
  <c r="AV45" i="3"/>
  <c r="AV49" i="3"/>
  <c r="I49" i="3"/>
  <c r="AT66" i="3"/>
  <c r="AU72" i="3"/>
  <c r="BG91" i="3"/>
  <c r="AC91" i="3" s="1"/>
  <c r="I91" i="3"/>
  <c r="AU94" i="3"/>
  <c r="AV99" i="3"/>
  <c r="BG99" i="3"/>
  <c r="AC99" i="3" s="1"/>
  <c r="BF111" i="3"/>
  <c r="AB111" i="3" s="1"/>
  <c r="H111" i="3"/>
  <c r="BG122" i="3"/>
  <c r="AC122" i="3" s="1"/>
  <c r="I122" i="3"/>
  <c r="AV122" i="3"/>
  <c r="BA122" i="3" s="1"/>
  <c r="BF132" i="3"/>
  <c r="AB132" i="3" s="1"/>
  <c r="H132" i="3"/>
  <c r="BF141" i="3"/>
  <c r="AB141" i="3" s="1"/>
  <c r="H141" i="3"/>
  <c r="AV145" i="3"/>
  <c r="BG153" i="3"/>
  <c r="AA153" i="3" s="1"/>
  <c r="I153" i="3"/>
  <c r="AV153" i="3"/>
  <c r="AR135" i="3"/>
  <c r="AV117" i="3"/>
  <c r="H134" i="3"/>
  <c r="AU134" i="3"/>
  <c r="AU19" i="3"/>
  <c r="AU62" i="3"/>
  <c r="H79" i="3"/>
  <c r="H88" i="3"/>
  <c r="AU88" i="3"/>
  <c r="H95" i="3"/>
  <c r="AU100" i="3"/>
  <c r="H105" i="3"/>
  <c r="AU114" i="3"/>
  <c r="H120" i="3"/>
  <c r="I125" i="3"/>
  <c r="AV125" i="3"/>
  <c r="I134" i="3"/>
  <c r="AV134" i="3"/>
  <c r="AQ135" i="3"/>
  <c r="AJ152" i="3"/>
  <c r="AJ155" i="3"/>
  <c r="AV28" i="3"/>
  <c r="AT28" i="3" s="1"/>
  <c r="AU33" i="3"/>
  <c r="I36" i="3"/>
  <c r="AV36" i="3"/>
  <c r="AT36" i="3" s="1"/>
  <c r="AU85" i="3"/>
  <c r="AQ102" i="3"/>
  <c r="AR138" i="3"/>
  <c r="AV33" i="3"/>
  <c r="H48" i="3"/>
  <c r="I52" i="3"/>
  <c r="AJ83" i="3"/>
  <c r="H85" i="3"/>
  <c r="AQ121" i="3"/>
  <c r="AU147" i="3"/>
  <c r="AJ154" i="3"/>
  <c r="H35" i="3"/>
  <c r="AU35" i="3"/>
  <c r="AV48" i="3"/>
  <c r="BF70" i="3"/>
  <c r="AB70" i="3" s="1"/>
  <c r="I85" i="3"/>
  <c r="I136" i="3"/>
  <c r="H147" i="3"/>
  <c r="AV147" i="3"/>
  <c r="H21" i="3"/>
  <c r="AV21" i="3"/>
  <c r="BF28" i="3"/>
  <c r="AB28" i="3" s="1"/>
  <c r="I33" i="3"/>
  <c r="I35" i="3"/>
  <c r="AV35" i="3"/>
  <c r="BF36" i="3"/>
  <c r="AB36" i="3" s="1"/>
  <c r="AU37" i="3"/>
  <c r="BA37" i="3" s="1"/>
  <c r="I50" i="3"/>
  <c r="AU50" i="3"/>
  <c r="AU53" i="3"/>
  <c r="BG70" i="3"/>
  <c r="AC70" i="3" s="1"/>
  <c r="AJ72" i="3"/>
  <c r="I89" i="3"/>
  <c r="H116" i="3"/>
  <c r="H139" i="3"/>
  <c r="AQ138" i="3"/>
  <c r="I147" i="3"/>
  <c r="H152" i="3"/>
  <c r="AQ47" i="3"/>
  <c r="I28" i="3"/>
  <c r="H50" i="3"/>
  <c r="AT74" i="3"/>
  <c r="H89" i="3"/>
  <c r="I21" i="3"/>
  <c r="AV50" i="3"/>
  <c r="AJ52" i="3"/>
  <c r="H55" i="3"/>
  <c r="AU55" i="3"/>
  <c r="I74" i="3"/>
  <c r="H83" i="3"/>
  <c r="BF89" i="3"/>
  <c r="AB89" i="3" s="1"/>
  <c r="I116" i="3"/>
  <c r="AU127" i="3"/>
  <c r="I139" i="3"/>
  <c r="I152" i="3"/>
  <c r="BF152" i="3"/>
  <c r="Z152" i="3" s="1"/>
  <c r="H28" i="3"/>
  <c r="H36" i="3"/>
  <c r="AV52" i="3"/>
  <c r="AR146" i="3"/>
  <c r="AU48" i="3"/>
  <c r="AV85" i="3"/>
  <c r="AJ148" i="3"/>
  <c r="AU21" i="3"/>
  <c r="H33" i="3"/>
  <c r="I48" i="3"/>
  <c r="BF37" i="3"/>
  <c r="AB37" i="3" s="1"/>
  <c r="AR47" i="3"/>
  <c r="H53" i="3"/>
  <c r="AJ70" i="3"/>
  <c r="BF74" i="3"/>
  <c r="AB74" i="3" s="1"/>
  <c r="BG89" i="3"/>
  <c r="AC89" i="3" s="1"/>
  <c r="BF116" i="3"/>
  <c r="AB116" i="3" s="1"/>
  <c r="H127" i="3"/>
  <c r="AV127" i="3"/>
  <c r="BF139" i="3"/>
  <c r="AB139" i="3" s="1"/>
  <c r="BG152" i="3"/>
  <c r="AA152" i="3" s="1"/>
  <c r="I27" i="2"/>
  <c r="F29" i="2" s="1"/>
  <c r="AV87" i="3"/>
  <c r="BG87" i="3"/>
  <c r="AC87" i="3" s="1"/>
  <c r="I87" i="3"/>
  <c r="AV148" i="3"/>
  <c r="BG148" i="3"/>
  <c r="AA148" i="3" s="1"/>
  <c r="I148" i="3"/>
  <c r="AV56" i="3"/>
  <c r="BG56" i="3"/>
  <c r="AA56" i="3" s="1"/>
  <c r="I56" i="3"/>
  <c r="BG65" i="3"/>
  <c r="AC65" i="3" s="1"/>
  <c r="AV65" i="3"/>
  <c r="AU112" i="3"/>
  <c r="BF112" i="3"/>
  <c r="AB112" i="3" s="1"/>
  <c r="AJ114" i="3"/>
  <c r="BF41" i="3"/>
  <c r="AU41" i="3"/>
  <c r="AV112" i="3"/>
  <c r="BG112" i="3"/>
  <c r="AC112" i="3" s="1"/>
  <c r="AV41" i="3"/>
  <c r="BG41" i="3"/>
  <c r="I41" i="3"/>
  <c r="J10" i="3"/>
  <c r="H12" i="3"/>
  <c r="H16" i="3"/>
  <c r="H20" i="3"/>
  <c r="AQ23" i="3"/>
  <c r="H25" i="3"/>
  <c r="H34" i="3"/>
  <c r="AR42" i="3"/>
  <c r="BF46" i="3"/>
  <c r="AB46" i="3" s="1"/>
  <c r="AU46" i="3"/>
  <c r="AU101" i="3"/>
  <c r="BF101" i="3"/>
  <c r="AJ103" i="3"/>
  <c r="J102" i="3"/>
  <c r="AU129" i="3"/>
  <c r="BF129" i="3"/>
  <c r="AB129" i="3" s="1"/>
  <c r="H129" i="3"/>
  <c r="BF22" i="3"/>
  <c r="AR23" i="3"/>
  <c r="AJ38" i="3"/>
  <c r="H41" i="3"/>
  <c r="AJ43" i="3"/>
  <c r="AS42" i="3" s="1"/>
  <c r="AV46" i="3"/>
  <c r="BG46" i="3"/>
  <c r="AC46" i="3" s="1"/>
  <c r="BG53" i="3"/>
  <c r="AA53" i="3" s="1"/>
  <c r="AV53" i="3"/>
  <c r="I53" i="3"/>
  <c r="M146" i="3"/>
  <c r="BD147" i="3"/>
  <c r="AR10" i="3"/>
  <c r="M23" i="3"/>
  <c r="M10" i="3"/>
  <c r="BF87" i="3"/>
  <c r="AB87" i="3" s="1"/>
  <c r="AU87" i="3"/>
  <c r="BF51" i="3"/>
  <c r="Z51" i="3" s="1"/>
  <c r="AU51" i="3"/>
  <c r="H51" i="3"/>
  <c r="AV93" i="3"/>
  <c r="BG93" i="3"/>
  <c r="AC93" i="3" s="1"/>
  <c r="BA14" i="3"/>
  <c r="AT14" i="3"/>
  <c r="BA30" i="3"/>
  <c r="J42" i="3"/>
  <c r="I46" i="3"/>
  <c r="BF49" i="3"/>
  <c r="Z49" i="3" s="1"/>
  <c r="AU49" i="3"/>
  <c r="H49" i="3"/>
  <c r="AV51" i="3"/>
  <c r="BG51" i="3"/>
  <c r="AA51" i="3" s="1"/>
  <c r="I51" i="3"/>
  <c r="BF56" i="3"/>
  <c r="Z56" i="3" s="1"/>
  <c r="H56" i="3"/>
  <c r="AU56" i="3"/>
  <c r="I93" i="3"/>
  <c r="AJ122" i="3"/>
  <c r="J121" i="3"/>
  <c r="AU143" i="3"/>
  <c r="BF143" i="3"/>
  <c r="AB143" i="3" s="1"/>
  <c r="AU155" i="3"/>
  <c r="BF155" i="3"/>
  <c r="Z155" i="3" s="1"/>
  <c r="BG37" i="3"/>
  <c r="AC37" i="3" s="1"/>
  <c r="AQ59" i="3"/>
  <c r="H63" i="3"/>
  <c r="BF66" i="3"/>
  <c r="AB66" i="3" s="1"/>
  <c r="BD103" i="3"/>
  <c r="M102" i="3"/>
  <c r="AU131" i="3"/>
  <c r="BF131" i="3"/>
  <c r="AB131" i="3" s="1"/>
  <c r="AJ132" i="3"/>
  <c r="AU136" i="3"/>
  <c r="BF136" i="3"/>
  <c r="AB136" i="3" s="1"/>
  <c r="H143" i="3"/>
  <c r="AV155" i="3"/>
  <c r="BG155" i="3"/>
  <c r="AA155" i="3" s="1"/>
  <c r="M138" i="3"/>
  <c r="BD141" i="3"/>
  <c r="AR59" i="3"/>
  <c r="I63" i="3"/>
  <c r="AU63" i="3"/>
  <c r="H74" i="3"/>
  <c r="AV131" i="3"/>
  <c r="BG131" i="3"/>
  <c r="AC131" i="3" s="1"/>
  <c r="H136" i="3"/>
  <c r="J59" i="3"/>
  <c r="BA70" i="3"/>
  <c r="AT70" i="3"/>
  <c r="H155" i="3"/>
  <c r="AJ56" i="3"/>
  <c r="H70" i="3"/>
  <c r="AU109" i="3"/>
  <c r="BF109" i="3"/>
  <c r="AB109" i="3" s="1"/>
  <c r="BD125" i="3"/>
  <c r="M121" i="3"/>
  <c r="I155" i="3"/>
  <c r="I37" i="3"/>
  <c r="AJ49" i="3"/>
  <c r="J47" i="3"/>
  <c r="AV54" i="3"/>
  <c r="BA54" i="3" s="1"/>
  <c r="I54" i="3"/>
  <c r="M59" i="3"/>
  <c r="BG63" i="3"/>
  <c r="AC63" i="3" s="1"/>
  <c r="AT64" i="3"/>
  <c r="H66" i="3"/>
  <c r="I68" i="3"/>
  <c r="I70" i="3"/>
  <c r="BF83" i="3"/>
  <c r="AB83" i="3" s="1"/>
  <c r="AU93" i="3"/>
  <c r="BF93" i="3"/>
  <c r="AB93" i="3" s="1"/>
  <c r="H109" i="3"/>
  <c r="AU148" i="3"/>
  <c r="BF148" i="3"/>
  <c r="Z148" i="3" s="1"/>
  <c r="BA154" i="3"/>
  <c r="AT154" i="3"/>
  <c r="BF38" i="3"/>
  <c r="AB38" i="3" s="1"/>
  <c r="BF40" i="3"/>
  <c r="AB40" i="3" s="1"/>
  <c r="BF43" i="3"/>
  <c r="AB43" i="3" s="1"/>
  <c r="BF45" i="3"/>
  <c r="AB45" i="3" s="1"/>
  <c r="BF64" i="3"/>
  <c r="AB64" i="3" s="1"/>
  <c r="BG66" i="3"/>
  <c r="AC66" i="3" s="1"/>
  <c r="BA89" i="3"/>
  <c r="AT89" i="3"/>
  <c r="BA105" i="3"/>
  <c r="AT105" i="3"/>
  <c r="BA120" i="3"/>
  <c r="AT120" i="3"/>
  <c r="AR121" i="3"/>
  <c r="AJ137" i="3"/>
  <c r="J135" i="3"/>
  <c r="BA139" i="3"/>
  <c r="AT139" i="3"/>
  <c r="H154" i="3"/>
  <c r="BA95" i="3"/>
  <c r="AT95" i="3"/>
  <c r="BA124" i="3"/>
  <c r="AT124" i="3"/>
  <c r="BA133" i="3"/>
  <c r="AT133" i="3"/>
  <c r="M135" i="3"/>
  <c r="BD137" i="3"/>
  <c r="AJ141" i="3"/>
  <c r="AS138" i="3" s="1"/>
  <c r="J138" i="3"/>
  <c r="AJ147" i="3"/>
  <c r="J146" i="3"/>
  <c r="BA152" i="3"/>
  <c r="AT152" i="3"/>
  <c r="AV88" i="3"/>
  <c r="BG101" i="3"/>
  <c r="BG109" i="3"/>
  <c r="AC109" i="3" s="1"/>
  <c r="BG129" i="3"/>
  <c r="AC129" i="3" s="1"/>
  <c r="BG136" i="3"/>
  <c r="AC136" i="3" s="1"/>
  <c r="BG143" i="3"/>
  <c r="AC143" i="3" s="1"/>
  <c r="AQ146" i="3"/>
  <c r="BF154" i="3"/>
  <c r="Z154" i="3" s="1"/>
  <c r="AT58" i="3" l="1"/>
  <c r="AT11" i="3"/>
  <c r="AT119" i="3"/>
  <c r="BA26" i="3"/>
  <c r="AT61" i="3"/>
  <c r="AS135" i="3"/>
  <c r="BA119" i="3"/>
  <c r="AS10" i="3"/>
  <c r="AT34" i="3"/>
  <c r="AT134" i="3"/>
  <c r="AT16" i="3"/>
  <c r="BA15" i="3"/>
  <c r="AT72" i="3"/>
  <c r="AT12" i="3"/>
  <c r="AT78" i="3"/>
  <c r="AT62" i="3"/>
  <c r="AT80" i="3"/>
  <c r="AT13" i="3"/>
  <c r="BA31" i="3"/>
  <c r="BA94" i="3"/>
  <c r="AT116" i="3"/>
  <c r="BA25" i="3"/>
  <c r="BA19" i="3"/>
  <c r="AT38" i="3"/>
  <c r="BA118" i="3"/>
  <c r="BA68" i="3"/>
  <c r="AT26" i="3"/>
  <c r="BA18" i="3"/>
  <c r="AT82" i="3"/>
  <c r="AT65" i="3"/>
  <c r="BA72" i="3"/>
  <c r="AT83" i="3"/>
  <c r="AT45" i="3"/>
  <c r="AT60" i="3"/>
  <c r="BA13" i="3"/>
  <c r="BA150" i="3"/>
  <c r="BA145" i="3"/>
  <c r="AT40" i="3"/>
  <c r="BA81" i="3"/>
  <c r="AT44" i="3"/>
  <c r="AT68" i="3"/>
  <c r="I138" i="3"/>
  <c r="AT126" i="3"/>
  <c r="AT132" i="3"/>
  <c r="AT32" i="3"/>
  <c r="AT94" i="3"/>
  <c r="AT50" i="3"/>
  <c r="AT145" i="3"/>
  <c r="AT25" i="3"/>
  <c r="BA65" i="3"/>
  <c r="AT33" i="3"/>
  <c r="AT52" i="3"/>
  <c r="BA134" i="3"/>
  <c r="AT99" i="3"/>
  <c r="BA36" i="3"/>
  <c r="AT20" i="3"/>
  <c r="AT19" i="3"/>
  <c r="BA45" i="3"/>
  <c r="AT18" i="3"/>
  <c r="AT53" i="3"/>
  <c r="BA20" i="3"/>
  <c r="I42" i="3"/>
  <c r="H42" i="3"/>
  <c r="BA103" i="3"/>
  <c r="AT103" i="3"/>
  <c r="BA91" i="3"/>
  <c r="AT91" i="3"/>
  <c r="AT81" i="3"/>
  <c r="AT43" i="3"/>
  <c r="BA82" i="3"/>
  <c r="AT114" i="3"/>
  <c r="BA62" i="3"/>
  <c r="I121" i="3"/>
  <c r="BA39" i="3"/>
  <c r="AT125" i="3"/>
  <c r="BA125" i="3"/>
  <c r="BA60" i="3"/>
  <c r="BA33" i="3"/>
  <c r="BA97" i="3"/>
  <c r="AT97" i="3"/>
  <c r="BA43" i="3"/>
  <c r="H146" i="3"/>
  <c r="H102" i="3"/>
  <c r="AT117" i="3"/>
  <c r="BA117" i="3"/>
  <c r="BA126" i="3"/>
  <c r="BA100" i="3"/>
  <c r="AT100" i="3"/>
  <c r="I135" i="3"/>
  <c r="H59" i="3"/>
  <c r="I10" i="3"/>
  <c r="AT37" i="3"/>
  <c r="H135" i="3"/>
  <c r="AS59" i="3"/>
  <c r="BA153" i="3"/>
  <c r="AT153" i="3"/>
  <c r="AT76" i="3"/>
  <c r="BA99" i="3"/>
  <c r="BA11" i="3"/>
  <c r="AT22" i="3"/>
  <c r="BA53" i="3"/>
  <c r="BA111" i="3"/>
  <c r="AS121" i="3"/>
  <c r="AT122" i="3"/>
  <c r="BA114" i="3"/>
  <c r="BA141" i="3"/>
  <c r="BA130" i="3"/>
  <c r="AT130" i="3"/>
  <c r="BA137" i="3"/>
  <c r="AT137" i="3"/>
  <c r="AT31" i="3"/>
  <c r="AS23" i="3"/>
  <c r="I102" i="3"/>
  <c r="H138" i="3"/>
  <c r="BA80" i="3"/>
  <c r="AT48" i="3"/>
  <c r="BA17" i="3"/>
  <c r="AT17" i="3"/>
  <c r="BA107" i="3"/>
  <c r="AT107" i="3"/>
  <c r="H121" i="3"/>
  <c r="H23" i="3"/>
  <c r="BA127" i="3"/>
  <c r="AT127" i="3"/>
  <c r="AS47" i="3"/>
  <c r="BA50" i="3"/>
  <c r="BA21" i="3"/>
  <c r="AT21" i="3"/>
  <c r="AT85" i="3"/>
  <c r="BA85" i="3"/>
  <c r="AS146" i="3"/>
  <c r="BA52" i="3"/>
  <c r="H47" i="3"/>
  <c r="BA28" i="3"/>
  <c r="AT55" i="3"/>
  <c r="BA55" i="3"/>
  <c r="BA147" i="3"/>
  <c r="AT147" i="3"/>
  <c r="I59" i="3"/>
  <c r="I47" i="3"/>
  <c r="BA48" i="3"/>
  <c r="BA35" i="3"/>
  <c r="AT35" i="3"/>
  <c r="BA129" i="3"/>
  <c r="AT129" i="3"/>
  <c r="BA93" i="3"/>
  <c r="AT93" i="3"/>
  <c r="AT87" i="3"/>
  <c r="BA87" i="3"/>
  <c r="H10" i="3"/>
  <c r="I146" i="3"/>
  <c r="AT54" i="3"/>
  <c r="BA131" i="3"/>
  <c r="AT131" i="3"/>
  <c r="BA109" i="3"/>
  <c r="AT109" i="3"/>
  <c r="BA136" i="3"/>
  <c r="AT136" i="3"/>
  <c r="BA49" i="3"/>
  <c r="AT49" i="3"/>
  <c r="BA51" i="3"/>
  <c r="AT51" i="3"/>
  <c r="AS102" i="3"/>
  <c r="J157" i="3"/>
  <c r="J8" i="3"/>
  <c r="BA41" i="3"/>
  <c r="AT41" i="3"/>
  <c r="BA112" i="3"/>
  <c r="AT112" i="3"/>
  <c r="BA155" i="3"/>
  <c r="AT155" i="3"/>
  <c r="BA56" i="3"/>
  <c r="AT56" i="3"/>
  <c r="AT63" i="3"/>
  <c r="BA63" i="3"/>
  <c r="AT88" i="3"/>
  <c r="BA88" i="3"/>
  <c r="BA148" i="3"/>
  <c r="AT148" i="3"/>
  <c r="I23" i="3"/>
  <c r="M8" i="3"/>
  <c r="BA101" i="3"/>
  <c r="AT101" i="3"/>
  <c r="BA143" i="3"/>
  <c r="AT143" i="3"/>
  <c r="BA46" i="3"/>
  <c r="AT46" i="3"/>
  <c r="I8" i="3" l="1"/>
  <c r="H8" i="3"/>
</calcChain>
</file>

<file path=xl/sharedStrings.xml><?xml version="1.0" encoding="utf-8"?>
<sst xmlns="http://schemas.openxmlformats.org/spreadsheetml/2006/main" count="1471" uniqueCount="381">
  <si>
    <t>Název stavby:</t>
  </si>
  <si>
    <t>Objednatel:</t>
  </si>
  <si>
    <t>IČO/DIČ:</t>
  </si>
  <si>
    <t/>
  </si>
  <si>
    <t>Druh stavby:</t>
  </si>
  <si>
    <t>Projektant:</t>
  </si>
  <si>
    <t xml:space="preserve"> 08130914/CZ 08130914</t>
  </si>
  <si>
    <t>Lokalita:</t>
  </si>
  <si>
    <t>Zhotovitel:</t>
  </si>
  <si>
    <t>-/-</t>
  </si>
  <si>
    <t>Začátek výstavby:</t>
  </si>
  <si>
    <t>Konec výstavby:</t>
  </si>
  <si>
    <t>Položek:</t>
  </si>
  <si>
    <t>JKSO:</t>
  </si>
  <si>
    <t>Zpracoval:</t>
  </si>
  <si>
    <t>Datum:</t>
  </si>
  <si>
    <t>Náklady na umístění stavby (NUS)</t>
  </si>
  <si>
    <t>Práce přesčas</t>
  </si>
  <si>
    <t>Zařízení staveniště</t>
  </si>
  <si>
    <t>Montáž</t>
  </si>
  <si>
    <t>Bez pevné podl.</t>
  </si>
  <si>
    <t>Mimostav. doprava</t>
  </si>
  <si>
    <t>Kulturní památka</t>
  </si>
  <si>
    <t>Územní vlivy</t>
  </si>
  <si>
    <t>Provozní vlivy</t>
  </si>
  <si>
    <t>Ostatní</t>
  </si>
  <si>
    <t>NUS z rozpočtu</t>
  </si>
  <si>
    <t>Celkem bez DPH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</si>
  <si>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</si>
  <si>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</si>
  <si>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</si>
  <si>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</si>
  <si>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</si>
  <si>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</si>
  <si>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</si>
  <si>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</si>
  <si>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</si>
  <si>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</si>
  <si>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</si>
  <si>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</si>
  <si>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</si>
  <si>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 xml:space="preserve"> </t>
  </si>
  <si>
    <t>Č</t>
  </si>
  <si>
    <t>Kód</t>
  </si>
  <si>
    <t>Zkrácený popis / Varianta</t>
  </si>
  <si>
    <t>MJ</t>
  </si>
  <si>
    <t>Množství</t>
  </si>
  <si>
    <t>Cena/MJ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</si>
  <si>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</si>
  <si>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</si>
  <si>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</si>
  <si>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</si>
  <si>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</si>
  <si>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</si>
  <si>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</si>
  <si>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</si>
  <si>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</si>
  <si>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Celkem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</si>
  <si>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</si>
  <si>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</si>
  <si>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</si>
  <si>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</si>
  <si>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</si>
  <si>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</si>
  <si>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</si>
  <si>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</si>
  <si>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</si>
  <si>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</si>
  <si>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</si>
  <si>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</si>
  <si>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</si>
  <si>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</si>
  <si>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Nezařazeno</t>
  </si>
  <si>
    <t>722</t>
  </si>
  <si>
    <t>Vnitřní vodovod-vnitřní rozvody</t>
  </si>
  <si>
    <t>1</t>
  </si>
  <si>
    <t>722172742R00</t>
  </si>
  <si>
    <t>Potrubí plastové PP-RCT, bez zednických výpomocí, D 20 x 2,3 mm,</t>
  </si>
  <si>
    <t>m</t>
  </si>
  <si>
    <t>RTS I / 2025</t>
  </si>
  <si>
    <t>7</t>
  </si>
  <si>
    <t>722_</t>
  </si>
  <si>
    <t>_72_</t>
  </si>
  <si>
    <t>_</t>
  </si>
  <si>
    <t>P</t>
  </si>
  <si>
    <t>2</t>
  </si>
  <si>
    <t>722172743R00</t>
  </si>
  <si>
    <t>Potrubí plastové PP-RCT, bez zednických výpomocí, D 25 x 2,8 mm</t>
  </si>
  <si>
    <t>3</t>
  </si>
  <si>
    <t>722172744R00</t>
  </si>
  <si>
    <t>Potrubí plastové PP-RCT, bez zednických výpomocí, D 32 x 3,6 mm</t>
  </si>
  <si>
    <t>4</t>
  </si>
  <si>
    <t>722172745R00</t>
  </si>
  <si>
    <t>Potrubí plastové PP-RCT, bez zednických výpomocí, D 40 x 4,5 mm</t>
  </si>
  <si>
    <t>5</t>
  </si>
  <si>
    <t>722174212R00</t>
  </si>
  <si>
    <t>Montáž potr.plast.rovné.svař.D 20 mm,vodovod</t>
  </si>
  <si>
    <t>6</t>
  </si>
  <si>
    <t>722174213R00</t>
  </si>
  <si>
    <t>Montáž potr.plast.polyf.svař.D 25 mm,vodovod</t>
  </si>
  <si>
    <t>722174214R00</t>
  </si>
  <si>
    <t>Montáž potr.plast. polyf.svař.D 32 mm,vodovod</t>
  </si>
  <si>
    <t>8</t>
  </si>
  <si>
    <t>722174215R00</t>
  </si>
  <si>
    <t>Montáž potr.plast. polyf.svař.D 40 mm,vodovod</t>
  </si>
  <si>
    <t>9</t>
  </si>
  <si>
    <t>722290234R00</t>
  </si>
  <si>
    <t>Proplach a dezinfekce vodovodního potrubí DN 80 mm</t>
  </si>
  <si>
    <t>10</t>
  </si>
  <si>
    <t>733190109R00</t>
  </si>
  <si>
    <t>Tlaková zkouška potrubí</t>
  </si>
  <si>
    <t>11</t>
  </si>
  <si>
    <t>VL 40</t>
  </si>
  <si>
    <t>Rozbory vody</t>
  </si>
  <si>
    <t>kpl</t>
  </si>
  <si>
    <t>12</t>
  </si>
  <si>
    <t>998722102R00</t>
  </si>
  <si>
    <t>Přesun hmot pro vnitřní vodovod, výšky do 12 m</t>
  </si>
  <si>
    <t>t</t>
  </si>
  <si>
    <t>725</t>
  </si>
  <si>
    <t>soubor</t>
  </si>
  <si>
    <t>725_</t>
  </si>
  <si>
    <t>kus</t>
  </si>
  <si>
    <t>Varianta:</t>
  </si>
  <si>
    <t>725829201R00</t>
  </si>
  <si>
    <t>Montáž baterie dřezové chromové</t>
  </si>
  <si>
    <t>725860201RT1</t>
  </si>
  <si>
    <t>Sifon dřezový HL100, 6/4",</t>
  </si>
  <si>
    <t>zpětná klapka, D 40, 50 mm, kulový kloub na odtoku</t>
  </si>
  <si>
    <t>VL31</t>
  </si>
  <si>
    <t>Výlevka nástěnná 485 x 340 mm, bílá</t>
  </si>
  <si>
    <t>M</t>
  </si>
  <si>
    <t>RTS komentář:</t>
  </si>
  <si>
    <t>Výlevka s plastovým roštem, závěsná
Včetně sifonu</t>
  </si>
  <si>
    <t>725119306R00</t>
  </si>
  <si>
    <t>Montáž výlevky závěsné</t>
  </si>
  <si>
    <t>VL33</t>
  </si>
  <si>
    <t>Montáž nástěnné baterie pochormované pro výlevku + příslušesntví</t>
  </si>
  <si>
    <t>725814105R00</t>
  </si>
  <si>
    <t>Ventil rohový s filtrem DN 10, 3/8" - zařízení Gastro</t>
  </si>
  <si>
    <t>VL 37</t>
  </si>
  <si>
    <t>Ventil rohový s filtrem DN 15, 1/2" - zařízení Gastro</t>
  </si>
  <si>
    <t>725814121R00</t>
  </si>
  <si>
    <t>Ventil rohový s filtrem DN 20, 3/4" - zařízení Gastro</t>
  </si>
  <si>
    <t>VL 35</t>
  </si>
  <si>
    <t>Ventil rohový se zpětnou klapkou DN 20, 3/4" - zařízení Gastro</t>
  </si>
  <si>
    <t>VL 36</t>
  </si>
  <si>
    <t>Výtoková armatura DN 15, 1/2" - zařízení Gastro</t>
  </si>
  <si>
    <t>VL 38</t>
  </si>
  <si>
    <t>Montáž ventilu nástěnného G 3/8"</t>
  </si>
  <si>
    <t>VL 39</t>
  </si>
  <si>
    <t>Montáž výtokového ventilu G 1/2"</t>
  </si>
  <si>
    <t>725819201R00</t>
  </si>
  <si>
    <t>Montáž ventilu nástěnného G 1/2"</t>
  </si>
  <si>
    <t>725819202R00</t>
  </si>
  <si>
    <t>Montáž ventilu nástěnného G 3/4"</t>
  </si>
  <si>
    <t>998725102R00</t>
  </si>
  <si>
    <t>Přesun hmot pro zařizovací předměty, výšky do 12 m</t>
  </si>
  <si>
    <t>721</t>
  </si>
  <si>
    <t>Armatury vodovod</t>
  </si>
  <si>
    <t>722235113R00</t>
  </si>
  <si>
    <t>Kohout vod.kul.,vnitř.-vnitř.z. DN 25</t>
  </si>
  <si>
    <t>721_</t>
  </si>
  <si>
    <t>722235114R00</t>
  </si>
  <si>
    <t>Kohout vod.kul.,vnitř.-vnitř.z. DN 32</t>
  </si>
  <si>
    <t>722239102R00</t>
  </si>
  <si>
    <t>Montáž vodovodních armatur 2závity, G 3/4"</t>
  </si>
  <si>
    <t>722239104R00</t>
  </si>
  <si>
    <t>Montáž vodovodních armatur 2závity, G 5/4"</t>
  </si>
  <si>
    <t>103</t>
  </si>
  <si>
    <t>Podlahové vpusti a žlaby</t>
  </si>
  <si>
    <t>VL 05</t>
  </si>
  <si>
    <t>Ž1 - Hyg. žlab 200x1530mm,H=60,odtok 142mm, vpust boční DN110, 2,6l/s</t>
  </si>
  <si>
    <t>103_</t>
  </si>
  <si>
    <t>_1_</t>
  </si>
  <si>
    <t>VL 06</t>
  </si>
  <si>
    <t>Ž1 - pachový uzávěr, pro hyg. žlab 200mm, vč. kalového koše, Q=2,6l/s,</t>
  </si>
  <si>
    <t>VL 07</t>
  </si>
  <si>
    <t>Ž1 - Rošt mřížkový 168x499mm, R50 EN1253 / A15 EN1433, protiskluz R11</t>
  </si>
  <si>
    <t>VL 08</t>
  </si>
  <si>
    <t>Ž1 - Hyg. vpust, DN 100 boční, poziční přír.,bez PU</t>
  </si>
  <si>
    <t>VL 09</t>
  </si>
  <si>
    <t>Ž2 - Hyg. žlab 200x2030mm,H=60,odtok 142mm,standard, vpust boční DN110, 2,6l/s</t>
  </si>
  <si>
    <t>VL 10</t>
  </si>
  <si>
    <t>Ž2 - Pachový uzávěr, pro hyg. žlab 200mm, vč. kalového koše, Q=2,6l/s</t>
  </si>
  <si>
    <t>VL 11</t>
  </si>
  <si>
    <t>Ž2 - Rošt mřížkový 168x499mm, R50 EN1253 / A15 EN1433, protiskluz R11</t>
  </si>
  <si>
    <t>VL 12</t>
  </si>
  <si>
    <t>Ž2 - Hyg. vpust, DN 100 boční, poziční přír.,bez PU</t>
  </si>
  <si>
    <t>VL 13</t>
  </si>
  <si>
    <t>Montáž podlahové vpusti</t>
  </si>
  <si>
    <t>včetně materiálů potřebného k usazení</t>
  </si>
  <si>
    <t>998725101R00</t>
  </si>
  <si>
    <t>Přesun hmot pro zařizovací předměty, výšky do 6 m</t>
  </si>
  <si>
    <t>7211</t>
  </si>
  <si>
    <t>Vnitřní kanalizace</t>
  </si>
  <si>
    <t>721176101R00</t>
  </si>
  <si>
    <t>Potrubí HT připojovací D 32 x 1,8 mm</t>
  </si>
  <si>
    <t>7211_</t>
  </si>
  <si>
    <t>721176102R00</t>
  </si>
  <si>
    <t>Potrubí HT připojovací D 40 x 1,8 mm</t>
  </si>
  <si>
    <t>721176103R00</t>
  </si>
  <si>
    <t>Potrubí HT připojovací, D 50 x 1,8 mm</t>
  </si>
  <si>
    <t>721176105R00</t>
  </si>
  <si>
    <t>Potrubí HT připojovací, D 110 x 2,7 mm</t>
  </si>
  <si>
    <t>721176114R00</t>
  </si>
  <si>
    <t>Potrubí HT odpadní svislé, D 75 x 1,9 mm</t>
  </si>
  <si>
    <t>721176115R00</t>
  </si>
  <si>
    <t>Potrubí HT odpadní svislé, D 110 x 2,7 mm</t>
  </si>
  <si>
    <t>722181213RY5</t>
  </si>
  <si>
    <t>Izolace návleková tl. stěny 13 mm - d75</t>
  </si>
  <si>
    <t>vnitřní průměr 75 mm</t>
  </si>
  <si>
    <t>722181213RZ2</t>
  </si>
  <si>
    <t>Izolace návleková tl. stěny 13 mm - d110</t>
  </si>
  <si>
    <t>vnitřní průměr 110 mm</t>
  </si>
  <si>
    <t>VL 14</t>
  </si>
  <si>
    <t>Topný kabel s termostatem kanalizační potrubí</t>
  </si>
  <si>
    <t>VL 15</t>
  </si>
  <si>
    <t>Izolace nenasákavá 25/32 včetně krytu proti poškození</t>
  </si>
  <si>
    <t>vnitřní průměr 32 mm</t>
  </si>
  <si>
    <t>VL 16</t>
  </si>
  <si>
    <t>Izolace nenasákavá 25/40 včetně krytu proti poškození</t>
  </si>
  <si>
    <t>vnitřní průměr 40 mm</t>
  </si>
  <si>
    <t>722182004RT2</t>
  </si>
  <si>
    <t>Montáž tepelné izolace skruží na potrubí přímé, DN 40 mm, samolepicí spoj</t>
  </si>
  <si>
    <t>samolepicí spoj a příčné stažení páskou</t>
  </si>
  <si>
    <t>VL 17</t>
  </si>
  <si>
    <t>Sifon pro VZT jednotku/klimatizační jednotku s kolenem 90° včetně motnáže</t>
  </si>
  <si>
    <t>721176125R00</t>
  </si>
  <si>
    <t>Potrubí HT svodné (ležaté) v zemi, D 110 x 2,7 mm - tuková kanalizace</t>
  </si>
  <si>
    <t>60</t>
  </si>
  <si>
    <t>721176126R00</t>
  </si>
  <si>
    <t>Potrubí HT svodné (ležaté) v zemi, D 125 x 3,1 mm - tuková kanalizace</t>
  </si>
  <si>
    <t>721176222R00</t>
  </si>
  <si>
    <t>Potrubí KG svodné (ležaté) v zemi, D 110 x 3,2 mm</t>
  </si>
  <si>
    <t>721176223R00</t>
  </si>
  <si>
    <t>Potrubí KG svodné (ležaté) v zemi D 125 x 3,2 mm</t>
  </si>
  <si>
    <t>VL 18</t>
  </si>
  <si>
    <t>Napojení na stávající svodné kanalizační potrubí, (včetně materiálu a montáže)</t>
  </si>
  <si>
    <t>přesná pozice a dimenze stávající kanalizace bude upřesněna při realizaci</t>
  </si>
  <si>
    <t>VL 41</t>
  </si>
  <si>
    <t>Přesné určení nápojných bodů na kanalizaci</t>
  </si>
  <si>
    <t>hod</t>
  </si>
  <si>
    <t>včetně výkopových prací</t>
  </si>
  <si>
    <t>VL 42</t>
  </si>
  <si>
    <t>Protidešťová žaluzie nerezová 125x125mm</t>
  </si>
  <si>
    <t>728415113R00</t>
  </si>
  <si>
    <t>Montáž mřížky větrací nebo ventilační do 0,15 m2</t>
  </si>
  <si>
    <t>VL29</t>
  </si>
  <si>
    <t>Čistící kus DN75</t>
  </si>
  <si>
    <t>včetně montáže</t>
  </si>
  <si>
    <t>132201401R00</t>
  </si>
  <si>
    <t>Hloubený výkop pod základy v hor.3</t>
  </si>
  <si>
    <t>m3</t>
  </si>
  <si>
    <t>Položka obsahuje přehození výkopku nebo naložení na ruční dopravní prostředek. Položka neobsahuje podchycení základového zdiva.</t>
  </si>
  <si>
    <t>174101101R00</t>
  </si>
  <si>
    <t>Zásyp jam, rýh, šachet se zhutněním</t>
  </si>
  <si>
    <t>199000002R00</t>
  </si>
  <si>
    <t>Poplatek za skládku horniny 1- 4</t>
  </si>
  <si>
    <t>460600001RT3</t>
  </si>
  <si>
    <t>Naložení a odvoz zeminy</t>
  </si>
  <si>
    <t>odvoz na vzdálenost 5000 m</t>
  </si>
  <si>
    <t>175100020RAB</t>
  </si>
  <si>
    <t>Obsyp potrubí štěrkopískem</t>
  </si>
  <si>
    <t>dovoz štěrkopísku ze vzdálenosti 5 km</t>
  </si>
  <si>
    <t>721290123R00</t>
  </si>
  <si>
    <t>Zkouška těsnosti kanalizace kouřem DN 300</t>
  </si>
  <si>
    <t>721290112R00</t>
  </si>
  <si>
    <t>Zkouška těsnosti kanalizace vodou DN 200 mm</t>
  </si>
  <si>
    <t>998721101R00</t>
  </si>
  <si>
    <t>Přesun hmot pro vnitřní kanalizaci, výšky do 6 m</t>
  </si>
  <si>
    <t>724</t>
  </si>
  <si>
    <t>Vnitřní plynovod - potrubí</t>
  </si>
  <si>
    <t>723120203R00</t>
  </si>
  <si>
    <t>Potrubí ocelové hladké černé svařované DN 20</t>
  </si>
  <si>
    <t>724_</t>
  </si>
  <si>
    <t>NTL
V položce na m, je zahrnuto větší počet odskoku (kolena) skrz složitost stávající stavby a jeho řešení při vedení potrubí.</t>
  </si>
  <si>
    <t>723120204R00</t>
  </si>
  <si>
    <t>Potrubí ocelové hladké černé svařované DN 25</t>
  </si>
  <si>
    <t>Potrubí včetně tvarovek a zednických výpomocí</t>
  </si>
  <si>
    <t>723120205R00</t>
  </si>
  <si>
    <t>Potrubí ocelové hladké černé svařované DN 32</t>
  </si>
  <si>
    <t>723120206R00</t>
  </si>
  <si>
    <t>Potrubí ocelové hladké černé svařované DN 40</t>
  </si>
  <si>
    <t>723190909R00</t>
  </si>
  <si>
    <t>Zkouška tlaková  plynového potrubí</t>
  </si>
  <si>
    <t>bm</t>
  </si>
  <si>
    <t>VL 43</t>
  </si>
  <si>
    <t>Příplatek za vedení plynovodního potrubí v podlaze</t>
  </si>
  <si>
    <t>včetně materiálů a práce</t>
  </si>
  <si>
    <t>VL 01</t>
  </si>
  <si>
    <t>Napojení na stávající vnitřní NTL plynovod (včetně materiálu a montáže)</t>
  </si>
  <si>
    <t>VL 02</t>
  </si>
  <si>
    <t>Upevnovací, svařovací atd…  materiál pro upevnění potrubí plynovodu</t>
  </si>
  <si>
    <t>723190907R00</t>
  </si>
  <si>
    <t>Odvzdušnění a napuštění plynového potrubí</t>
  </si>
  <si>
    <t>783425350R00</t>
  </si>
  <si>
    <t>Nátěr syntet. potrubí do DN 100 mm Z +2x +1x email</t>
  </si>
  <si>
    <t>998723101R00</t>
  </si>
  <si>
    <t>Přesun hmot pro vnitřní plynovod, výšky do 6 m</t>
  </si>
  <si>
    <t>723110208R00</t>
  </si>
  <si>
    <t>Ochranná ocelová trubka DN 65 mm</t>
  </si>
  <si>
    <t>734</t>
  </si>
  <si>
    <t>Armatury plyn</t>
  </si>
  <si>
    <t>VL 03</t>
  </si>
  <si>
    <t>Dvoucestný elektromagnetický ventil DN40 (BAP)</t>
  </si>
  <si>
    <t>734_</t>
  </si>
  <si>
    <t>_73_</t>
  </si>
  <si>
    <t>BEZ NAPĚTÍ UZAVŘEN
SE SIGNÁLEM NAPĚTÍ OD VZT OTEVŘEN
230V, 50Hz, IP54, 21W PŘÍKON, DO 5kPa</t>
  </si>
  <si>
    <t>723235112R00</t>
  </si>
  <si>
    <t>Kohout kulový,vnitřní-vnitřní z. pro plyn DN 20</t>
  </si>
  <si>
    <t>723235113R00</t>
  </si>
  <si>
    <t>Kohout kulový,vnitřní-vnitřní z. pro plyn DN 25</t>
  </si>
  <si>
    <t>723235114R00</t>
  </si>
  <si>
    <t>Kohout kulový,vnitřní-vnitřní z. pro plyn DN 32</t>
  </si>
  <si>
    <t>VL 04</t>
  </si>
  <si>
    <t>Filtr plynový DN 40</t>
  </si>
  <si>
    <t>Plynový filtr pro běžné neagresivní plyny. Závitové připojení, DN40</t>
  </si>
  <si>
    <t>723235115R00</t>
  </si>
  <si>
    <t>Kohout kulový,vnitřní-vnitřní z. pro plyn DN 40</t>
  </si>
  <si>
    <t>723239102R00</t>
  </si>
  <si>
    <t>Montáž plynovodních armatur, 2 závity, G 3/4"</t>
  </si>
  <si>
    <t>723239103R00</t>
  </si>
  <si>
    <t>Montáž plynovodních armatur, 2 závity, G 1"</t>
  </si>
  <si>
    <t>723239104R00</t>
  </si>
  <si>
    <t>Montáž plynovodních armatur, 2 závity, G 5/4"</t>
  </si>
  <si>
    <t>723239105R00</t>
  </si>
  <si>
    <t>Montáž plynovodních armatur, 2 závity, G 6/4"</t>
  </si>
  <si>
    <t>998734101R00</t>
  </si>
  <si>
    <t>Přesun hmot pro armatury, výšky do 6 m</t>
  </si>
  <si>
    <t>738</t>
  </si>
  <si>
    <t>Vystrojení kiosku</t>
  </si>
  <si>
    <t>VL 19</t>
  </si>
  <si>
    <t>Nerezová dvířka 600x600mm</t>
  </si>
  <si>
    <t>738_</t>
  </si>
  <si>
    <t>766697111R00</t>
  </si>
  <si>
    <t>Montáž dvířek plynoměru 1křídl.kompl,do 90x120 cm</t>
  </si>
  <si>
    <t>723</t>
  </si>
  <si>
    <t>Demontáže a zpětné montáže</t>
  </si>
  <si>
    <t>VL 44</t>
  </si>
  <si>
    <t>Demontáž kanalizačního potrubí do DN150, vč likvidace a dopravy</t>
  </si>
  <si>
    <t>723_</t>
  </si>
  <si>
    <t>odhad</t>
  </si>
  <si>
    <t>723120809R00</t>
  </si>
  <si>
    <t>Demontáž vodovodního potrubí do DN80, vč likvidace a dopravy</t>
  </si>
  <si>
    <t>Demontáž plynovodního potrubí svařovaného závitového</t>
  </si>
  <si>
    <t>725210913R00</t>
  </si>
  <si>
    <t>Demontáž a zpětná montáž umyvadla, dřezu s 2 stojánkové ventily</t>
  </si>
  <si>
    <t>60_</t>
  </si>
  <si>
    <t>_6_</t>
  </si>
  <si>
    <t>VL 21</t>
  </si>
  <si>
    <t>Hzs-nezmeritelne stavebni prace</t>
  </si>
  <si>
    <t>h</t>
  </si>
  <si>
    <t>VL 22</t>
  </si>
  <si>
    <t>Hzs-zkousky v ramci montaz.praci</t>
  </si>
  <si>
    <t>Komplexni vyzkouseni</t>
  </si>
  <si>
    <t>VL 23</t>
  </si>
  <si>
    <t>HZS</t>
  </si>
  <si>
    <t>stavební dělník v tarifní třídě 7</t>
  </si>
  <si>
    <t>VL 24</t>
  </si>
  <si>
    <t>Dokladová část k realizaci</t>
  </si>
  <si>
    <t>VL 25</t>
  </si>
  <si>
    <t>Doprava materiálu na stavbu</t>
  </si>
  <si>
    <t>VL 26</t>
  </si>
  <si>
    <t>Dokumentace skutečného provedení</t>
  </si>
  <si>
    <t>VL 28</t>
  </si>
  <si>
    <t>Revize plynovodu</t>
  </si>
  <si>
    <t>Zpětná montáž baterie dřezové chromové</t>
  </si>
  <si>
    <t>Zpětná montáž nástěnné baterie pochormované pro výlevku + příslušesntví</t>
  </si>
  <si>
    <t>Demontáž a zpětná montáž umyvadla, dřezu s 2 stojánkové baterie (viz. pol č. 17, 18 - Stávající zařízení kuchyně)</t>
  </si>
  <si>
    <t>Položkový soupis prací a dodávek</t>
  </si>
  <si>
    <t>Stavba:</t>
  </si>
  <si>
    <t>MŠ ZDISLAVA, Brno, Pellicova 4 – rekonstrukce školní jídelny</t>
  </si>
  <si>
    <t>Rozpočet:</t>
  </si>
  <si>
    <t>vysoká ochrana: IPX7, včetně montáže</t>
  </si>
  <si>
    <t>5 / Zdravotně technické instalace + plynoinstalace</t>
  </si>
  <si>
    <t>V případě, že jsou užity v zadávací dokumentaci (projektová dokumentace, výkaz výměr, …) obchodní názvy, zadavatel připouští kvalitativně, parametrově a technicky shodné nebo vyšší řešení od jiného výrobce.</t>
  </si>
  <si>
    <t>POZNÁMKY:</t>
  </si>
  <si>
    <t xml:space="preserve">Zařizovací předměty </t>
  </si>
  <si>
    <t xml:space="preserve">Vzory ZP viz Vybavení kuchyně STÁVAJÍCÍ (bude namontováno zpět), ZBYLÉ, NOVÉ (05.1, 05.2, 05.3) - Stavební část </t>
  </si>
  <si>
    <r>
      <t xml:space="preserve">Výlevka nástěnná 485 x 340 mm, bílá </t>
    </r>
    <r>
      <rPr>
        <i/>
        <sz val="10"/>
        <color rgb="FF000000"/>
        <rFont val="Arial"/>
        <family val="2"/>
        <charset val="238"/>
      </rPr>
      <t>(viz p.č. 24 Vybavení kuchyně - nové)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</si>
</sst>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i/>
      <sz val="10"/>
      <color rgb="FF000000"/>
      <name val="Arial"/>
      <family val="2"/>
      <charset val="238"/>
    </font>
    <font>
      <b/>
      <sz val="11"/>
      <name val="Calibri"/>
      <family val="2"/>
      <charset val="238"/>
    </font>
    <font>
      <sz val="9"/>
      <name val="Arial CE"/>
      <family val="2"/>
      <charset val="238"/>
    </font>
    <font>
      <b/>
      <u/>
      <sz val="9"/>
      <name val="Arial CE"/>
      <charset val="238"/>
    </font>
    <font>
      <b/>
      <u/>
      <sz val="10"/>
      <color rgb="FF000000"/>
      <name val="Arial"/>
      <family val="2"/>
      <charset val="238"/>
    </font>
    <font>
      <i/>
      <sz val="10"/>
      <color theme="1" tint="0.3499862666707357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</fills>
  <borders count="6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19" xfId="0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left" vertical="center"/>
    </xf>
    <xf numFmtId="4" fontId="2" fillId="0" borderId="23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27" xfId="0" applyFont="1" applyBorder="1" applyAlignment="1">
      <alignment horizontal="right" vertical="center"/>
    </xf>
    <xf numFmtId="4" fontId="3" fillId="0" borderId="27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32" xfId="0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4" fontId="3" fillId="2" borderId="14" xfId="0" applyNumberFormat="1" applyFont="1" applyFill="1" applyBorder="1" applyAlignment="1">
      <alignment horizontal="right" vertical="center"/>
    </xf>
    <xf numFmtId="0" fontId="3" fillId="2" borderId="14" xfId="0" applyFont="1" applyFill="1" applyBorder="1" applyAlignment="1">
      <alignment horizontal="right" vertical="center"/>
    </xf>
    <xf numFmtId="0" fontId="3" fillId="2" borderId="36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0" fillId="4" borderId="0" xfId="0" applyFill="1"/>
    <xf numFmtId="4" fontId="3" fillId="5" borderId="37" xfId="0" applyNumberFormat="1" applyFont="1" applyFill="1" applyBorder="1" applyAlignment="1">
      <alignment horizontal="right" vertical="center"/>
    </xf>
    <xf numFmtId="0" fontId="0" fillId="4" borderId="37" xfId="0" applyFill="1" applyBorder="1"/>
    <xf numFmtId="4" fontId="2" fillId="0" borderId="37" xfId="0" applyNumberFormat="1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10" fillId="0" borderId="0" xfId="0" applyFont="1"/>
    <xf numFmtId="0" fontId="3" fillId="0" borderId="37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5" borderId="37" xfId="0" applyFont="1" applyFill="1" applyBorder="1" applyAlignment="1">
      <alignment horizontal="right" vertical="center"/>
    </xf>
    <xf numFmtId="0" fontId="3" fillId="5" borderId="36" xfId="0" applyFont="1" applyFill="1" applyBorder="1" applyAlignment="1">
      <alignment horizontal="right" vertical="center"/>
    </xf>
    <xf numFmtId="0" fontId="10" fillId="4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4" fontId="4" fillId="0" borderId="28" xfId="0" applyNumberFormat="1" applyFont="1" applyBorder="1" applyAlignment="1">
      <alignment horizontal="right" vertical="center"/>
    </xf>
    <xf numFmtId="0" fontId="4" fillId="0" borderId="25" xfId="0" applyFont="1" applyBorder="1" applyAlignment="1">
      <alignment horizontal="right" vertical="center"/>
    </xf>
    <xf numFmtId="0" fontId="4" fillId="0" borderId="26" xfId="0" applyFont="1" applyBorder="1" applyAlignment="1">
      <alignment horizontal="right" vertical="center"/>
    </xf>
    <xf numFmtId="49" fontId="11" fillId="4" borderId="37" xfId="0" applyNumberFormat="1" applyFont="1" applyFill="1" applyBorder="1" applyAlignment="1">
      <alignment horizontal="justify" vertical="justify" wrapTex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0" xfId="0" applyProtection="1"/>
    <xf numFmtId="0" fontId="2" fillId="0" borderId="37" xfId="0" applyFont="1" applyBorder="1" applyAlignment="1" applyProtection="1">
      <alignment horizontal="left" vertical="center"/>
    </xf>
    <xf numFmtId="0" fontId="6" fillId="0" borderId="37" xfId="0" applyFont="1" applyBorder="1" applyAlignment="1" applyProtection="1">
      <alignment horizontal="center"/>
    </xf>
    <xf numFmtId="0" fontId="2" fillId="4" borderId="37" xfId="0" applyFont="1" applyFill="1" applyBorder="1" applyAlignment="1" applyProtection="1">
      <alignment horizontal="left" vertical="center"/>
    </xf>
    <xf numFmtId="0" fontId="0" fillId="0" borderId="39" xfId="0" applyBorder="1" applyAlignment="1" applyProtection="1">
      <alignment vertical="center"/>
    </xf>
    <xf numFmtId="49" fontId="7" fillId="0" borderId="40" xfId="0" applyNumberFormat="1" applyFont="1" applyBorder="1" applyAlignment="1" applyProtection="1">
      <alignment vertical="center"/>
    </xf>
    <xf numFmtId="0" fontId="0" fillId="0" borderId="40" xfId="0" applyBorder="1" applyProtection="1"/>
    <xf numFmtId="0" fontId="0" fillId="0" borderId="40" xfId="0" applyFont="1" applyBorder="1" applyAlignment="1" applyProtection="1">
      <alignment vertical="center"/>
    </xf>
    <xf numFmtId="0" fontId="2" fillId="0" borderId="40" xfId="0" applyFont="1" applyBorder="1" applyAlignment="1" applyProtection="1">
      <alignment horizontal="left" vertical="center"/>
    </xf>
    <xf numFmtId="0" fontId="3" fillId="0" borderId="41" xfId="0" applyFont="1" applyBorder="1" applyAlignment="1" applyProtection="1">
      <alignment horizontal="left" vertical="center"/>
    </xf>
    <xf numFmtId="0" fontId="0" fillId="3" borderId="42" xfId="0" applyFill="1" applyBorder="1" applyAlignment="1" applyProtection="1">
      <alignment vertical="center"/>
    </xf>
    <xf numFmtId="49" fontId="7" fillId="3" borderId="38" xfId="0" applyNumberFormat="1" applyFont="1" applyFill="1" applyBorder="1" applyAlignment="1" applyProtection="1">
      <alignment vertical="center"/>
    </xf>
    <xf numFmtId="0" fontId="0" fillId="3" borderId="38" xfId="0" applyFill="1" applyBorder="1" applyProtection="1"/>
    <xf numFmtId="0" fontId="7" fillId="3" borderId="38" xfId="0" applyFont="1" applyFill="1" applyBorder="1" applyAlignment="1" applyProtection="1">
      <alignment vertical="center"/>
    </xf>
    <xf numFmtId="0" fontId="2" fillId="3" borderId="38" xfId="0" applyFont="1" applyFill="1" applyBorder="1" applyAlignment="1" applyProtection="1">
      <alignment horizontal="left" vertical="center"/>
    </xf>
    <xf numFmtId="0" fontId="3" fillId="3" borderId="43" xfId="0" applyFont="1" applyFill="1" applyBorder="1" applyAlignment="1" applyProtection="1">
      <alignment horizontal="left" vertical="center"/>
    </xf>
    <xf numFmtId="0" fontId="3" fillId="0" borderId="37" xfId="0" applyFont="1" applyBorder="1" applyAlignment="1" applyProtection="1">
      <alignment horizontal="left" vertical="center"/>
    </xf>
    <xf numFmtId="0" fontId="3" fillId="0" borderId="46" xfId="0" applyFont="1" applyBorder="1" applyAlignment="1" applyProtection="1">
      <alignment horizontal="left" vertical="center"/>
    </xf>
    <xf numFmtId="0" fontId="3" fillId="0" borderId="47" xfId="0" applyFont="1" applyBorder="1" applyAlignment="1" applyProtection="1">
      <alignment horizontal="left" vertical="center"/>
    </xf>
    <xf numFmtId="0" fontId="3" fillId="0" borderId="44" xfId="0" applyFont="1" applyBorder="1" applyAlignment="1" applyProtection="1">
      <alignment horizontal="left" vertical="center"/>
    </xf>
    <xf numFmtId="0" fontId="3" fillId="0" borderId="47" xfId="0" applyFont="1" applyBorder="1" applyAlignment="1" applyProtection="1">
      <alignment horizontal="center" vertical="center"/>
    </xf>
    <xf numFmtId="0" fontId="3" fillId="0" borderId="44" xfId="0" applyFont="1" applyBorder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/>
    </xf>
    <xf numFmtId="0" fontId="3" fillId="0" borderId="49" xfId="0" applyFont="1" applyBorder="1" applyAlignment="1" applyProtection="1">
      <alignment horizontal="center" vertical="center"/>
    </xf>
    <xf numFmtId="0" fontId="3" fillId="0" borderId="50" xfId="0" applyFont="1" applyBorder="1" applyAlignment="1" applyProtection="1">
      <alignment horizontal="center" vertical="center"/>
    </xf>
    <xf numFmtId="0" fontId="3" fillId="4" borderId="37" xfId="0" applyFont="1" applyFill="1" applyBorder="1" applyAlignment="1" applyProtection="1">
      <alignment horizontal="center" vertical="center"/>
    </xf>
    <xf numFmtId="0" fontId="2" fillId="0" borderId="51" xfId="0" applyFont="1" applyBorder="1" applyAlignment="1" applyProtection="1">
      <alignment horizontal="left" vertical="center"/>
    </xf>
    <xf numFmtId="0" fontId="2" fillId="0" borderId="33" xfId="0" applyFont="1" applyBorder="1" applyAlignment="1" applyProtection="1">
      <alignment horizontal="left" vertical="center"/>
    </xf>
    <xf numFmtId="0" fontId="3" fillId="0" borderId="34" xfId="0" applyFont="1" applyBorder="1" applyAlignment="1" applyProtection="1">
      <alignment horizontal="left" vertical="center"/>
    </xf>
    <xf numFmtId="0" fontId="3" fillId="0" borderId="34" xfId="0" applyFont="1" applyBorder="1" applyAlignment="1" applyProtection="1">
      <alignment horizontal="center" vertical="center"/>
    </xf>
    <xf numFmtId="0" fontId="3" fillId="0" borderId="35" xfId="0" applyFont="1" applyBorder="1" applyAlignment="1" applyProtection="1">
      <alignment horizontal="center" vertical="center"/>
    </xf>
    <xf numFmtId="0" fontId="3" fillId="0" borderId="33" xfId="0" applyFont="1" applyBorder="1" applyAlignment="1" applyProtection="1">
      <alignment horizontal="center" vertical="center"/>
    </xf>
    <xf numFmtId="0" fontId="3" fillId="0" borderId="52" xfId="0" applyFont="1" applyBorder="1" applyAlignment="1" applyProtection="1">
      <alignment horizontal="center" vertical="center"/>
    </xf>
    <xf numFmtId="0" fontId="2" fillId="0" borderId="29" xfId="0" applyFont="1" applyBorder="1" applyAlignment="1" applyProtection="1">
      <alignment horizontal="left" vertical="center"/>
    </xf>
    <xf numFmtId="0" fontId="3" fillId="0" borderId="29" xfId="0" applyFont="1" applyBorder="1" applyAlignment="1" applyProtection="1">
      <alignment horizontal="left" vertical="center"/>
    </xf>
    <xf numFmtId="0" fontId="3" fillId="0" borderId="29" xfId="0" applyFont="1" applyBorder="1" applyAlignment="1" applyProtection="1">
      <alignment horizontal="center" vertical="center"/>
    </xf>
    <xf numFmtId="0" fontId="2" fillId="2" borderId="37" xfId="0" applyFont="1" applyFill="1" applyBorder="1" applyAlignment="1" applyProtection="1">
      <alignment horizontal="left" vertical="center"/>
    </xf>
    <xf numFmtId="0" fontId="3" fillId="2" borderId="37" xfId="0" applyFont="1" applyFill="1" applyBorder="1" applyAlignment="1" applyProtection="1">
      <alignment horizontal="left" vertical="center"/>
    </xf>
    <xf numFmtId="0" fontId="3" fillId="2" borderId="37" xfId="0" applyFont="1" applyFill="1" applyBorder="1" applyAlignment="1" applyProtection="1">
      <alignment horizontal="left" vertical="center" wrapText="1"/>
    </xf>
    <xf numFmtId="4" fontId="3" fillId="2" borderId="37" xfId="0" applyNumberFormat="1" applyFont="1" applyFill="1" applyBorder="1" applyAlignment="1" applyProtection="1">
      <alignment horizontal="right" vertical="center"/>
    </xf>
    <xf numFmtId="4" fontId="3" fillId="5" borderId="37" xfId="0" applyNumberFormat="1" applyFont="1" applyFill="1" applyBorder="1" applyAlignment="1" applyProtection="1">
      <alignment horizontal="right" vertical="center"/>
    </xf>
    <xf numFmtId="0" fontId="0" fillId="4" borderId="0" xfId="0" applyFill="1" applyProtection="1"/>
    <xf numFmtId="0" fontId="2" fillId="5" borderId="37" xfId="0" applyFont="1" applyFill="1" applyBorder="1" applyAlignment="1" applyProtection="1">
      <alignment horizontal="left" vertical="center"/>
    </xf>
    <xf numFmtId="0" fontId="3" fillId="5" borderId="37" xfId="0" applyFont="1" applyFill="1" applyBorder="1" applyAlignment="1" applyProtection="1">
      <alignment horizontal="left" vertical="center"/>
    </xf>
    <xf numFmtId="0" fontId="3" fillId="5" borderId="37" xfId="0" applyFont="1" applyFill="1" applyBorder="1" applyAlignment="1" applyProtection="1">
      <alignment horizontal="left" vertical="center" wrapText="1"/>
    </xf>
    <xf numFmtId="0" fontId="2" fillId="2" borderId="59" xfId="0" applyFont="1" applyFill="1" applyBorder="1" applyAlignment="1" applyProtection="1">
      <alignment horizontal="left" vertical="center"/>
    </xf>
    <xf numFmtId="0" fontId="3" fillId="2" borderId="44" xfId="0" applyFont="1" applyFill="1" applyBorder="1" applyAlignment="1" applyProtection="1">
      <alignment horizontal="left" vertical="center"/>
    </xf>
    <xf numFmtId="0" fontId="3" fillId="2" borderId="44" xfId="0" applyFont="1" applyFill="1" applyBorder="1" applyAlignment="1" applyProtection="1">
      <alignment horizontal="left" vertical="center" wrapText="1"/>
    </xf>
    <xf numFmtId="0" fontId="2" fillId="2" borderId="44" xfId="0" applyFont="1" applyFill="1" applyBorder="1" applyAlignment="1" applyProtection="1">
      <alignment horizontal="left" vertical="center"/>
    </xf>
    <xf numFmtId="4" fontId="3" fillId="2" borderId="44" xfId="0" applyNumberFormat="1" applyFont="1" applyFill="1" applyBorder="1" applyAlignment="1" applyProtection="1">
      <alignment horizontal="right" vertical="center"/>
    </xf>
    <xf numFmtId="4" fontId="3" fillId="2" borderId="45" xfId="0" applyNumberFormat="1" applyFont="1" applyFill="1" applyBorder="1" applyAlignment="1" applyProtection="1">
      <alignment horizontal="right" vertical="center"/>
    </xf>
    <xf numFmtId="0" fontId="2" fillId="0" borderId="53" xfId="0" applyFont="1" applyBorder="1" applyAlignment="1" applyProtection="1">
      <alignment horizontal="left" vertical="center"/>
    </xf>
    <xf numFmtId="0" fontId="2" fillId="0" borderId="37" xfId="0" applyFont="1" applyBorder="1" applyAlignment="1" applyProtection="1">
      <alignment horizontal="left" vertical="center" wrapText="1"/>
    </xf>
    <xf numFmtId="4" fontId="2" fillId="0" borderId="37" xfId="0" applyNumberFormat="1" applyFont="1" applyBorder="1" applyAlignment="1" applyProtection="1">
      <alignment horizontal="right" vertical="center"/>
    </xf>
    <xf numFmtId="4" fontId="3" fillId="0" borderId="54" xfId="0" applyNumberFormat="1" applyFont="1" applyBorder="1" applyAlignment="1" applyProtection="1">
      <alignment horizontal="right" vertical="center"/>
    </xf>
    <xf numFmtId="4" fontId="2" fillId="4" borderId="37" xfId="0" applyNumberFormat="1" applyFont="1" applyFill="1" applyBorder="1" applyAlignment="1" applyProtection="1">
      <alignment horizontal="right" vertical="center"/>
    </xf>
    <xf numFmtId="0" fontId="2" fillId="2" borderId="53" xfId="0" applyFont="1" applyFill="1" applyBorder="1" applyAlignment="1" applyProtection="1">
      <alignment horizontal="left" vertical="center"/>
    </xf>
    <xf numFmtId="4" fontId="3" fillId="2" borderId="54" xfId="0" applyNumberFormat="1" applyFont="1" applyFill="1" applyBorder="1" applyAlignment="1" applyProtection="1">
      <alignment horizontal="right" vertical="center"/>
    </xf>
    <xf numFmtId="0" fontId="13" fillId="0" borderId="37" xfId="0" applyFont="1" applyBorder="1" applyAlignment="1" applyProtection="1">
      <alignment horizontal="left" vertical="center"/>
    </xf>
    <xf numFmtId="0" fontId="14" fillId="0" borderId="37" xfId="0" applyFont="1" applyBorder="1" applyAlignment="1" applyProtection="1">
      <alignment horizontal="left" vertical="center"/>
    </xf>
    <xf numFmtId="0" fontId="0" fillId="0" borderId="53" xfId="0" applyBorder="1" applyProtection="1"/>
    <xf numFmtId="0" fontId="5" fillId="0" borderId="37" xfId="0" applyFont="1" applyBorder="1" applyAlignment="1" applyProtection="1">
      <alignment horizontal="right" vertical="center"/>
    </xf>
    <xf numFmtId="0" fontId="5" fillId="0" borderId="37" xfId="0" applyFont="1" applyBorder="1" applyAlignment="1" applyProtection="1">
      <alignment horizontal="left" vertical="center" wrapText="1"/>
    </xf>
    <xf numFmtId="0" fontId="5" fillId="0" borderId="37" xfId="0" applyFont="1" applyBorder="1" applyAlignment="1" applyProtection="1">
      <alignment horizontal="left" vertical="center"/>
    </xf>
    <xf numFmtId="0" fontId="9" fillId="0" borderId="54" xfId="0" applyFont="1" applyBorder="1" applyAlignment="1" applyProtection="1">
      <alignment horizontal="left" vertical="center"/>
    </xf>
    <xf numFmtId="0" fontId="5" fillId="4" borderId="37" xfId="0" applyFont="1" applyFill="1" applyBorder="1" applyAlignment="1" applyProtection="1">
      <alignment horizontal="left" vertical="center"/>
    </xf>
    <xf numFmtId="0" fontId="2" fillId="0" borderId="55" xfId="0" applyFont="1" applyBorder="1" applyAlignment="1" applyProtection="1">
      <alignment horizontal="left" vertical="center"/>
    </xf>
    <xf numFmtId="0" fontId="2" fillId="0" borderId="38" xfId="0" applyFont="1" applyBorder="1" applyAlignment="1" applyProtection="1">
      <alignment horizontal="left" vertical="center"/>
    </xf>
    <xf numFmtId="0" fontId="2" fillId="0" borderId="38" xfId="0" applyFont="1" applyBorder="1" applyAlignment="1" applyProtection="1">
      <alignment horizontal="left" vertical="center" wrapText="1"/>
    </xf>
    <xf numFmtId="4" fontId="2" fillId="0" borderId="38" xfId="0" applyNumberFormat="1" applyFont="1" applyBorder="1" applyAlignment="1" applyProtection="1">
      <alignment horizontal="right" vertical="center"/>
    </xf>
    <xf numFmtId="4" fontId="3" fillId="0" borderId="43" xfId="0" applyNumberFormat="1" applyFont="1" applyBorder="1" applyAlignment="1" applyProtection="1">
      <alignment horizontal="right" vertical="center"/>
    </xf>
    <xf numFmtId="4" fontId="3" fillId="0" borderId="37" xfId="0" applyNumberFormat="1" applyFont="1" applyBorder="1" applyAlignment="1" applyProtection="1">
      <alignment horizontal="right" vertical="center"/>
    </xf>
    <xf numFmtId="0" fontId="0" fillId="3" borderId="57" xfId="0" applyFill="1" applyBorder="1" applyProtection="1"/>
    <xf numFmtId="49" fontId="8" fillId="3" borderId="56" xfId="0" applyNumberFormat="1" applyFont="1" applyFill="1" applyBorder="1" applyAlignment="1" applyProtection="1">
      <alignment vertical="center"/>
    </xf>
    <xf numFmtId="0" fontId="0" fillId="3" borderId="56" xfId="0" applyFill="1" applyBorder="1" applyProtection="1"/>
    <xf numFmtId="0" fontId="3" fillId="3" borderId="56" xfId="0" applyFont="1" applyFill="1" applyBorder="1" applyAlignment="1" applyProtection="1">
      <alignment horizontal="left" vertical="center"/>
    </xf>
    <xf numFmtId="4" fontId="3" fillId="3" borderId="58" xfId="0" applyNumberFormat="1" applyFont="1" applyFill="1" applyBorder="1" applyAlignment="1" applyProtection="1">
      <alignment horizontal="right" vertical="center"/>
    </xf>
    <xf numFmtId="4" fontId="3" fillId="4" borderId="37" xfId="0" applyNumberFormat="1" applyFont="1" applyFill="1" applyBorder="1" applyAlignment="1" applyProtection="1">
      <alignment horizontal="right" vertical="center"/>
    </xf>
    <xf numFmtId="0" fontId="12" fillId="0" borderId="0" xfId="0" applyFont="1" applyAlignment="1" applyProtection="1">
      <alignment vertical="center"/>
    </xf>
    <xf numFmtId="0" fontId="10" fillId="0" borderId="0" xfId="0" applyFont="1" applyProtection="1"/>
    <xf numFmtId="0" fontId="0" fillId="4" borderId="37" xfId="0" applyFill="1" applyBorder="1" applyProtection="1"/>
    <xf numFmtId="49" fontId="11" fillId="0" borderId="37" xfId="0" applyNumberFormat="1" applyFont="1" applyBorder="1" applyAlignment="1" applyProtection="1">
      <alignment horizontal="left" vertical="justify" wrapText="1"/>
    </xf>
    <xf numFmtId="4" fontId="2" fillId="0" borderId="37" xfId="0" applyNumberFormat="1" applyFont="1" applyBorder="1" applyAlignment="1" applyProtection="1">
      <alignment horizontal="right" vertical="center"/>
      <protection locked="0"/>
    </xf>
    <xf numFmtId="0" fontId="2" fillId="2" borderId="37" xfId="0" applyFont="1" applyFill="1" applyBorder="1" applyAlignment="1" applyProtection="1">
      <alignment horizontal="left" vertical="center"/>
      <protection locked="0"/>
    </xf>
    <xf numFmtId="0" fontId="5" fillId="0" borderId="37" xfId="0" applyFont="1" applyBorder="1" applyAlignment="1" applyProtection="1">
      <alignment horizontal="left" vertical="center"/>
      <protection locked="0"/>
    </xf>
    <xf numFmtId="4" fontId="2" fillId="0" borderId="38" xfId="0" applyNumberFormat="1" applyFont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161</xdr:row>
      <xdr:rowOff>161925</xdr:rowOff>
    </xdr:from>
    <xdr:to>
      <xdr:col>3</xdr:col>
      <xdr:colOff>3542684</xdr:colOff>
      <xdr:row>173</xdr:row>
      <xdr:rowOff>56877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31222950"/>
          <a:ext cx="4923809" cy="21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43" t="s">
        <v>29</v>
      </c>
      <c r="B1" s="44"/>
      <c r="C1" s="44"/>
      <c r="D1" s="44"/>
      <c r="E1" s="44"/>
      <c r="F1" s="44"/>
      <c r="G1" s="44"/>
      <c r="H1" s="44"/>
      <c r="I1" s="44"/>
    </row>
    <row r="2" spans="1:9" x14ac:dyDescent="0.25">
      <c r="A2" s="45" t="s">
        <v>0</v>
      </c>
      <c r="B2" s="46"/>
      <c r="C2" s="56" t="e">
        <f>'5_VV_ZTI+plyn'!#REF!</f>
        <v>#REF!</v>
      </c>
      <c r="D2" s="57"/>
      <c r="E2" s="50" t="s">
        <v>1</v>
      </c>
      <c r="F2" s="50" t="e">
        <f>'5_VV_ZTI+plyn'!#REF!</f>
        <v>#REF!</v>
      </c>
      <c r="G2" s="46"/>
      <c r="H2" s="50" t="s">
        <v>2</v>
      </c>
      <c r="I2" s="52" t="s">
        <v>3</v>
      </c>
    </row>
    <row r="3" spans="1:9" ht="15" customHeight="1" x14ac:dyDescent="0.25">
      <c r="A3" s="47"/>
      <c r="B3" s="48"/>
      <c r="C3" s="58"/>
      <c r="D3" s="58"/>
      <c r="E3" s="48"/>
      <c r="F3" s="48"/>
      <c r="G3" s="48"/>
      <c r="H3" s="48"/>
      <c r="I3" s="53"/>
    </row>
    <row r="4" spans="1:9" x14ac:dyDescent="0.25">
      <c r="A4" s="49" t="s">
        <v>4</v>
      </c>
      <c r="B4" s="48"/>
      <c r="C4" s="51" t="e">
        <f>'5_VV_ZTI+plyn'!#REF!</f>
        <v>#REF!</v>
      </c>
      <c r="D4" s="48"/>
      <c r="E4" s="51" t="s">
        <v>5</v>
      </c>
      <c r="F4" s="51" t="e">
        <f>'5_VV_ZTI+plyn'!#REF!</f>
        <v>#REF!</v>
      </c>
      <c r="G4" s="48"/>
      <c r="H4" s="51" t="s">
        <v>2</v>
      </c>
      <c r="I4" s="53" t="s">
        <v>6</v>
      </c>
    </row>
    <row r="5" spans="1:9" ht="15" customHeight="1" x14ac:dyDescent="0.25">
      <c r="A5" s="47"/>
      <c r="B5" s="48"/>
      <c r="C5" s="48"/>
      <c r="D5" s="48"/>
      <c r="E5" s="48"/>
      <c r="F5" s="48"/>
      <c r="G5" s="48"/>
      <c r="H5" s="48"/>
      <c r="I5" s="53"/>
    </row>
    <row r="6" spans="1:9" x14ac:dyDescent="0.25">
      <c r="A6" s="49" t="s">
        <v>7</v>
      </c>
      <c r="B6" s="48"/>
      <c r="C6" s="51" t="e">
        <f>'5_VV_ZTI+plyn'!#REF!</f>
        <v>#REF!</v>
      </c>
      <c r="D6" s="48"/>
      <c r="E6" s="51" t="s">
        <v>8</v>
      </c>
      <c r="F6" s="51" t="e">
        <f>'5_VV_ZTI+plyn'!#REF!</f>
        <v>#REF!</v>
      </c>
      <c r="G6" s="48"/>
      <c r="H6" s="51" t="s">
        <v>2</v>
      </c>
      <c r="I6" s="53" t="s">
        <v>9</v>
      </c>
    </row>
    <row r="7" spans="1:9" ht="15" customHeight="1" x14ac:dyDescent="0.25">
      <c r="A7" s="47"/>
      <c r="B7" s="48"/>
      <c r="C7" s="48"/>
      <c r="D7" s="48"/>
      <c r="E7" s="48"/>
      <c r="F7" s="48"/>
      <c r="G7" s="48"/>
      <c r="H7" s="48"/>
      <c r="I7" s="53"/>
    </row>
    <row r="8" spans="1:9" x14ac:dyDescent="0.25">
      <c r="A8" s="49" t="s">
        <v>10</v>
      </c>
      <c r="B8" s="48"/>
      <c r="C8" s="51" t="e">
        <f>'5_VV_ZTI+plyn'!#REF!</f>
        <v>#REF!</v>
      </c>
      <c r="D8" s="48"/>
      <c r="E8" s="51" t="s">
        <v>11</v>
      </c>
      <c r="F8" s="51" t="e">
        <f>'5_VV_ZTI+plyn'!#REF!</f>
        <v>#REF!</v>
      </c>
      <c r="G8" s="48"/>
      <c r="H8" s="48" t="s">
        <v>12</v>
      </c>
      <c r="I8" s="54">
        <v>113</v>
      </c>
    </row>
    <row r="9" spans="1:9" x14ac:dyDescent="0.25">
      <c r="A9" s="47"/>
      <c r="B9" s="48"/>
      <c r="C9" s="48"/>
      <c r="D9" s="48"/>
      <c r="E9" s="48"/>
      <c r="F9" s="48"/>
      <c r="G9" s="48"/>
      <c r="H9" s="48"/>
      <c r="I9" s="53"/>
    </row>
    <row r="10" spans="1:9" x14ac:dyDescent="0.25">
      <c r="A10" s="49" t="s">
        <v>13</v>
      </c>
      <c r="B10" s="48"/>
      <c r="C10" s="51" t="e">
        <f>'5_VV_ZTI+plyn'!#REF!</f>
        <v>#REF!</v>
      </c>
      <c r="D10" s="48"/>
      <c r="E10" s="51" t="s">
        <v>14</v>
      </c>
      <c r="F10" s="51" t="e">
        <f>'5_VV_ZTI+plyn'!#REF!</f>
        <v>#REF!</v>
      </c>
      <c r="G10" s="48"/>
      <c r="H10" s="48" t="s">
        <v>15</v>
      </c>
      <c r="I10" s="59" t="e">
        <f>'5_VV_ZTI+plyn'!#REF!</f>
        <v>#REF!</v>
      </c>
    </row>
    <row r="11" spans="1:9" x14ac:dyDescent="0.25">
      <c r="A11" s="68"/>
      <c r="B11" s="55"/>
      <c r="C11" s="55"/>
      <c r="D11" s="55"/>
      <c r="E11" s="55"/>
      <c r="F11" s="55"/>
      <c r="G11" s="55"/>
      <c r="H11" s="55"/>
      <c r="I11" s="60"/>
    </row>
    <row r="13" spans="1:9" ht="15.75" x14ac:dyDescent="0.25">
      <c r="A13" s="61" t="s">
        <v>30</v>
      </c>
      <c r="B13" s="61"/>
      <c r="C13" s="61"/>
      <c r="D13" s="61"/>
      <c r="E13" s="61"/>
    </row>
    <row r="14" spans="1:9" x14ac:dyDescent="0.25">
      <c r="A14" s="62" t="s">
        <v>31</v>
      </c>
      <c r="B14" s="63"/>
      <c r="C14" s="63"/>
      <c r="D14" s="63"/>
      <c r="E14" s="64"/>
      <c r="F14" s="2" t="s">
        <v>32</v>
      </c>
      <c r="G14" s="2" t="s">
        <v>33</v>
      </c>
      <c r="H14" s="2" t="s">
        <v>34</v>
      </c>
      <c r="I14" s="2" t="s">
        <v>32</v>
      </c>
    </row>
    <row r="15" spans="1:9" x14ac:dyDescent="0.25">
      <c r="A15" s="65" t="s">
        <v>17</v>
      </c>
      <c r="B15" s="66"/>
      <c r="C15" s="66"/>
      <c r="D15" s="66"/>
      <c r="E15" s="67"/>
      <c r="F15" s="3">
        <v>0</v>
      </c>
      <c r="G15" s="4" t="s">
        <v>3</v>
      </c>
      <c r="H15" s="4" t="s">
        <v>3</v>
      </c>
      <c r="I15" s="3">
        <f>F15</f>
        <v>0</v>
      </c>
    </row>
    <row r="16" spans="1:9" x14ac:dyDescent="0.25">
      <c r="A16" s="65" t="s">
        <v>20</v>
      </c>
      <c r="B16" s="66"/>
      <c r="C16" s="66"/>
      <c r="D16" s="66"/>
      <c r="E16" s="67"/>
      <c r="F16" s="3">
        <v>0</v>
      </c>
      <c r="G16" s="4" t="s">
        <v>3</v>
      </c>
      <c r="H16" s="4" t="s">
        <v>3</v>
      </c>
      <c r="I16" s="3">
        <f>F16</f>
        <v>0</v>
      </c>
    </row>
    <row r="17" spans="1:9" x14ac:dyDescent="0.25">
      <c r="A17" s="69" t="s">
        <v>22</v>
      </c>
      <c r="B17" s="70"/>
      <c r="C17" s="70"/>
      <c r="D17" s="70"/>
      <c r="E17" s="71"/>
      <c r="F17" s="5">
        <v>0</v>
      </c>
      <c r="G17" s="6" t="s">
        <v>3</v>
      </c>
      <c r="H17" s="6" t="s">
        <v>3</v>
      </c>
      <c r="I17" s="5">
        <f>F17</f>
        <v>0</v>
      </c>
    </row>
    <row r="18" spans="1:9" x14ac:dyDescent="0.25">
      <c r="A18" s="72" t="s">
        <v>35</v>
      </c>
      <c r="B18" s="73"/>
      <c r="C18" s="73"/>
      <c r="D18" s="73"/>
      <c r="E18" s="74"/>
      <c r="F18" s="7" t="s">
        <v>3</v>
      </c>
      <c r="G18" s="8" t="s">
        <v>3</v>
      </c>
      <c r="H18" s="8" t="s">
        <v>3</v>
      </c>
      <c r="I18" s="9">
        <f>SUM(I15:I17)</f>
        <v>0</v>
      </c>
    </row>
    <row r="20" spans="1:9" x14ac:dyDescent="0.25">
      <c r="A20" s="62" t="s">
        <v>16</v>
      </c>
      <c r="B20" s="63"/>
      <c r="C20" s="63"/>
      <c r="D20" s="63"/>
      <c r="E20" s="64"/>
      <c r="F20" s="2" t="s">
        <v>32</v>
      </c>
      <c r="G20" s="2" t="s">
        <v>33</v>
      </c>
      <c r="H20" s="2" t="s">
        <v>34</v>
      </c>
      <c r="I20" s="2" t="s">
        <v>32</v>
      </c>
    </row>
    <row r="21" spans="1:9" x14ac:dyDescent="0.25">
      <c r="A21" s="65" t="s">
        <v>18</v>
      </c>
      <c r="B21" s="66"/>
      <c r="C21" s="66"/>
      <c r="D21" s="66"/>
      <c r="E21" s="67"/>
      <c r="F21" s="3">
        <v>0</v>
      </c>
      <c r="G21" s="4" t="s">
        <v>3</v>
      </c>
      <c r="H21" s="4" t="s">
        <v>3</v>
      </c>
      <c r="I21" s="3">
        <f t="shared" ref="I21:I26" si="0">F21</f>
        <v>0</v>
      </c>
    </row>
    <row r="22" spans="1:9" x14ac:dyDescent="0.25">
      <c r="A22" s="65" t="s">
        <v>21</v>
      </c>
      <c r="B22" s="66"/>
      <c r="C22" s="66"/>
      <c r="D22" s="66"/>
      <c r="E22" s="67"/>
      <c r="F22" s="3">
        <v>0</v>
      </c>
      <c r="G22" s="4" t="s">
        <v>3</v>
      </c>
      <c r="H22" s="4" t="s">
        <v>3</v>
      </c>
      <c r="I22" s="3">
        <f t="shared" si="0"/>
        <v>0</v>
      </c>
    </row>
    <row r="23" spans="1:9" x14ac:dyDescent="0.25">
      <c r="A23" s="65" t="s">
        <v>23</v>
      </c>
      <c r="B23" s="66"/>
      <c r="C23" s="66"/>
      <c r="D23" s="66"/>
      <c r="E23" s="67"/>
      <c r="F23" s="3">
        <v>0</v>
      </c>
      <c r="G23" s="4" t="s">
        <v>3</v>
      </c>
      <c r="H23" s="4" t="s">
        <v>3</v>
      </c>
      <c r="I23" s="3">
        <f t="shared" si="0"/>
        <v>0</v>
      </c>
    </row>
    <row r="24" spans="1:9" x14ac:dyDescent="0.25">
      <c r="A24" s="65" t="s">
        <v>24</v>
      </c>
      <c r="B24" s="66"/>
      <c r="C24" s="66"/>
      <c r="D24" s="66"/>
      <c r="E24" s="67"/>
      <c r="F24" s="3">
        <v>0</v>
      </c>
      <c r="G24" s="4" t="s">
        <v>3</v>
      </c>
      <c r="H24" s="4" t="s">
        <v>3</v>
      </c>
      <c r="I24" s="3">
        <f t="shared" si="0"/>
        <v>0</v>
      </c>
    </row>
    <row r="25" spans="1:9" x14ac:dyDescent="0.25">
      <c r="A25" s="65" t="s">
        <v>25</v>
      </c>
      <c r="B25" s="66"/>
      <c r="C25" s="66"/>
      <c r="D25" s="66"/>
      <c r="E25" s="67"/>
      <c r="F25" s="3">
        <v>0</v>
      </c>
      <c r="G25" s="4" t="s">
        <v>3</v>
      </c>
      <c r="H25" s="4" t="s">
        <v>3</v>
      </c>
      <c r="I25" s="3">
        <f t="shared" si="0"/>
        <v>0</v>
      </c>
    </row>
    <row r="26" spans="1:9" x14ac:dyDescent="0.25">
      <c r="A26" s="69" t="s">
        <v>26</v>
      </c>
      <c r="B26" s="70"/>
      <c r="C26" s="70"/>
      <c r="D26" s="70"/>
      <c r="E26" s="71"/>
      <c r="F26" s="5">
        <v>0</v>
      </c>
      <c r="G26" s="6" t="s">
        <v>3</v>
      </c>
      <c r="H26" s="6" t="s">
        <v>3</v>
      </c>
      <c r="I26" s="5">
        <f t="shared" si="0"/>
        <v>0</v>
      </c>
    </row>
    <row r="27" spans="1:9" x14ac:dyDescent="0.25">
      <c r="A27" s="72" t="s">
        <v>36</v>
      </c>
      <c r="B27" s="73"/>
      <c r="C27" s="73"/>
      <c r="D27" s="73"/>
      <c r="E27" s="74"/>
      <c r="F27" s="7" t="s">
        <v>3</v>
      </c>
      <c r="G27" s="8" t="s">
        <v>3</v>
      </c>
      <c r="H27" s="8" t="s">
        <v>3</v>
      </c>
      <c r="I27" s="9">
        <f>SUM(I21:I26)</f>
        <v>0</v>
      </c>
    </row>
    <row r="29" spans="1:9" ht="15.75" x14ac:dyDescent="0.25">
      <c r="A29" s="75" t="s">
        <v>37</v>
      </c>
      <c r="B29" s="76"/>
      <c r="C29" s="76"/>
      <c r="D29" s="76"/>
      <c r="E29" s="77"/>
      <c r="F29" s="78">
        <f>I18+I27</f>
        <v>0</v>
      </c>
      <c r="G29" s="79"/>
      <c r="H29" s="79"/>
      <c r="I29" s="80"/>
    </row>
    <row r="33" spans="1:9" ht="15.75" x14ac:dyDescent="0.25">
      <c r="A33" s="61" t="s">
        <v>38</v>
      </c>
      <c r="B33" s="61"/>
      <c r="C33" s="61"/>
      <c r="D33" s="61"/>
      <c r="E33" s="61"/>
    </row>
    <row r="34" spans="1:9" x14ac:dyDescent="0.25">
      <c r="A34" s="62" t="s">
        <v>39</v>
      </c>
      <c r="B34" s="63"/>
      <c r="C34" s="63"/>
      <c r="D34" s="63"/>
      <c r="E34" s="64"/>
      <c r="F34" s="2" t="s">
        <v>32</v>
      </c>
      <c r="G34" s="2" t="s">
        <v>33</v>
      </c>
      <c r="H34" s="2" t="s">
        <v>34</v>
      </c>
      <c r="I34" s="2" t="s">
        <v>32</v>
      </c>
    </row>
    <row r="35" spans="1:9" x14ac:dyDescent="0.25">
      <c r="A35" s="69" t="s">
        <v>3</v>
      </c>
      <c r="B35" s="70"/>
      <c r="C35" s="70"/>
      <c r="D35" s="70"/>
      <c r="E35" s="71"/>
      <c r="F35" s="5">
        <v>0</v>
      </c>
      <c r="G35" s="6" t="s">
        <v>3</v>
      </c>
      <c r="H35" s="6" t="s">
        <v>3</v>
      </c>
      <c r="I35" s="5">
        <f>F35</f>
        <v>0</v>
      </c>
    </row>
    <row r="36" spans="1:9" x14ac:dyDescent="0.25">
      <c r="A36" s="72" t="s">
        <v>40</v>
      </c>
      <c r="B36" s="73"/>
      <c r="C36" s="73"/>
      <c r="D36" s="73"/>
      <c r="E36" s="74"/>
      <c r="F36" s="7" t="s">
        <v>3</v>
      </c>
      <c r="G36" s="8" t="s">
        <v>3</v>
      </c>
      <c r="H36" s="8" t="s">
        <v>3</v>
      </c>
      <c r="I36" s="9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161"/>
  <sheetViews>
    <sheetView tabSelected="1" view="pageBreakPreview" zoomScaleNormal="100" zoomScaleSheetLayoutView="100" workbookViewId="0">
      <pane ySplit="6" topLeftCell="A148" activePane="bottomLeft" state="frozen"/>
      <selection pane="bottomLeft" activeCell="D16" sqref="D16"/>
    </sheetView>
  </sheetViews>
  <sheetFormatPr defaultColWidth="12.140625" defaultRowHeight="15" customHeight="1" x14ac:dyDescent="0.25"/>
  <cols>
    <col min="1" max="1" width="1.7109375" customWidth="1"/>
    <col min="2" max="2" width="4" customWidth="1"/>
    <col min="3" max="3" width="17.85546875" customWidth="1"/>
    <col min="4" max="4" width="66.28515625" customWidth="1"/>
    <col min="5" max="5" width="6.42578125" customWidth="1"/>
    <col min="6" max="6" width="12.85546875" customWidth="1"/>
    <col min="7" max="7" width="12" customWidth="1"/>
    <col min="8" max="9" width="13.5703125" customWidth="1"/>
    <col min="10" max="10" width="13.5703125" style="37" customWidth="1"/>
    <col min="11" max="11" width="2" style="34" customWidth="1"/>
    <col min="12" max="13" width="11.7109375" hidden="1" customWidth="1"/>
    <col min="14" max="14" width="13.42578125" customWidth="1"/>
    <col min="74" max="74" width="64.28515625" customWidth="1"/>
  </cols>
  <sheetData>
    <row r="1" spans="1:74" ht="16.5" thickBot="1" x14ac:dyDescent="0.3">
      <c r="A1" s="84"/>
      <c r="B1" s="85"/>
      <c r="C1" s="86" t="s">
        <v>370</v>
      </c>
      <c r="D1" s="86"/>
      <c r="E1" s="86"/>
      <c r="F1" s="86"/>
      <c r="G1" s="86"/>
      <c r="H1" s="86"/>
      <c r="I1" s="86"/>
      <c r="J1" s="86"/>
      <c r="K1" s="87"/>
      <c r="L1" s="31"/>
      <c r="M1" s="31"/>
      <c r="N1" s="31"/>
    </row>
    <row r="2" spans="1:74" ht="18" customHeight="1" x14ac:dyDescent="0.25">
      <c r="A2" s="84"/>
      <c r="B2" s="85"/>
      <c r="C2" s="88" t="s">
        <v>371</v>
      </c>
      <c r="D2" s="89" t="s">
        <v>372</v>
      </c>
      <c r="E2" s="90"/>
      <c r="F2" s="91"/>
      <c r="G2" s="91"/>
      <c r="H2" s="92"/>
      <c r="I2" s="92"/>
      <c r="J2" s="93"/>
      <c r="K2" s="87"/>
      <c r="L2" s="31"/>
      <c r="M2" s="31"/>
      <c r="N2" s="31"/>
    </row>
    <row r="3" spans="1:74" ht="18" customHeight="1" thickBot="1" x14ac:dyDescent="0.3">
      <c r="A3" s="84"/>
      <c r="B3" s="85"/>
      <c r="C3" s="94" t="s">
        <v>373</v>
      </c>
      <c r="D3" s="95" t="s">
        <v>375</v>
      </c>
      <c r="E3" s="96"/>
      <c r="F3" s="97"/>
      <c r="G3" s="97"/>
      <c r="H3" s="98"/>
      <c r="I3" s="98"/>
      <c r="J3" s="99"/>
      <c r="K3" s="87"/>
      <c r="L3" s="31"/>
      <c r="M3" s="31"/>
      <c r="N3" s="31"/>
    </row>
    <row r="4" spans="1:74" ht="15.75" thickBot="1" x14ac:dyDescent="0.3">
      <c r="A4" s="84"/>
      <c r="B4" s="85"/>
      <c r="C4" s="85"/>
      <c r="D4" s="85"/>
      <c r="E4" s="85"/>
      <c r="F4" s="85"/>
      <c r="G4" s="85"/>
      <c r="H4" s="85"/>
      <c r="I4" s="85"/>
      <c r="J4" s="100"/>
      <c r="K4" s="87"/>
      <c r="L4" s="31"/>
      <c r="M4" s="31"/>
      <c r="N4" s="31"/>
    </row>
    <row r="5" spans="1:74" x14ac:dyDescent="0.25">
      <c r="A5" s="84"/>
      <c r="B5" s="101" t="s">
        <v>42</v>
      </c>
      <c r="C5" s="102" t="s">
        <v>43</v>
      </c>
      <c r="D5" s="103" t="s">
        <v>44</v>
      </c>
      <c r="E5" s="102" t="s">
        <v>45</v>
      </c>
      <c r="F5" s="104" t="s">
        <v>46</v>
      </c>
      <c r="G5" s="105" t="s">
        <v>47</v>
      </c>
      <c r="H5" s="106" t="s">
        <v>48</v>
      </c>
      <c r="I5" s="107"/>
      <c r="J5" s="108"/>
      <c r="K5" s="109"/>
      <c r="L5" s="82" t="s">
        <v>49</v>
      </c>
      <c r="M5" s="83"/>
      <c r="N5" s="11" t="s">
        <v>50</v>
      </c>
      <c r="BI5" s="12" t="s">
        <v>51</v>
      </c>
      <c r="BJ5" s="13" t="s">
        <v>52</v>
      </c>
      <c r="BU5" s="13" t="s">
        <v>53</v>
      </c>
    </row>
    <row r="6" spans="1:74" ht="15.75" thickBot="1" x14ac:dyDescent="0.3">
      <c r="A6" s="84"/>
      <c r="B6" s="110" t="s">
        <v>41</v>
      </c>
      <c r="C6" s="111" t="s">
        <v>41</v>
      </c>
      <c r="D6" s="112" t="s">
        <v>54</v>
      </c>
      <c r="E6" s="111" t="s">
        <v>41</v>
      </c>
      <c r="F6" s="111" t="s">
        <v>41</v>
      </c>
      <c r="G6" s="113" t="s">
        <v>55</v>
      </c>
      <c r="H6" s="114" t="s">
        <v>56</v>
      </c>
      <c r="I6" s="115" t="s">
        <v>19</v>
      </c>
      <c r="J6" s="116" t="s">
        <v>57</v>
      </c>
      <c r="K6" s="109"/>
      <c r="L6" s="14" t="s">
        <v>58</v>
      </c>
      <c r="M6" s="15" t="s">
        <v>57</v>
      </c>
      <c r="N6" s="16" t="s">
        <v>59</v>
      </c>
      <c r="X6" s="12" t="s">
        <v>60</v>
      </c>
      <c r="Y6" s="12" t="s">
        <v>61</v>
      </c>
      <c r="Z6" s="12" t="s">
        <v>62</v>
      </c>
      <c r="AA6" s="12" t="s">
        <v>63</v>
      </c>
      <c r="AB6" s="12" t="s">
        <v>64</v>
      </c>
      <c r="AC6" s="12" t="s">
        <v>65</v>
      </c>
      <c r="AD6" s="12" t="s">
        <v>66</v>
      </c>
      <c r="AE6" s="12" t="s">
        <v>67</v>
      </c>
      <c r="AF6" s="12" t="s">
        <v>68</v>
      </c>
      <c r="BF6" s="12" t="s">
        <v>69</v>
      </c>
      <c r="BG6" s="12" t="s">
        <v>70</v>
      </c>
      <c r="BH6" s="12" t="s">
        <v>71</v>
      </c>
    </row>
    <row r="7" spans="1:74" x14ac:dyDescent="0.25">
      <c r="A7" s="84"/>
      <c r="B7" s="117"/>
      <c r="C7" s="117"/>
      <c r="D7" s="118"/>
      <c r="E7" s="117"/>
      <c r="F7" s="117"/>
      <c r="G7" s="119"/>
      <c r="H7" s="119"/>
      <c r="I7" s="119"/>
      <c r="J7" s="119"/>
      <c r="K7" s="109"/>
      <c r="L7" s="38"/>
      <c r="M7" s="38"/>
      <c r="N7" s="39"/>
      <c r="X7" s="12"/>
      <c r="Y7" s="12"/>
      <c r="Z7" s="12"/>
      <c r="AA7" s="12"/>
      <c r="AB7" s="12"/>
      <c r="AC7" s="12"/>
      <c r="AD7" s="12"/>
      <c r="AE7" s="12"/>
      <c r="AF7" s="12"/>
      <c r="BF7" s="12"/>
      <c r="BG7" s="12"/>
      <c r="BH7" s="12"/>
    </row>
    <row r="8" spans="1:74" x14ac:dyDescent="0.25">
      <c r="A8" s="84"/>
      <c r="B8" s="120" t="s">
        <v>3</v>
      </c>
      <c r="C8" s="121" t="s">
        <v>3</v>
      </c>
      <c r="D8" s="122" t="s">
        <v>72</v>
      </c>
      <c r="E8" s="120" t="s">
        <v>41</v>
      </c>
      <c r="F8" s="120" t="s">
        <v>41</v>
      </c>
      <c r="G8" s="120" t="s">
        <v>41</v>
      </c>
      <c r="H8" s="123">
        <f>H10+H23+H42+H47+H59+H102+H121+H135+H138+H146</f>
        <v>0</v>
      </c>
      <c r="I8" s="123">
        <f>I10+I23+I42+I47+I59+I102+I121+I135+I138+I146</f>
        <v>0</v>
      </c>
      <c r="J8" s="123">
        <f>J10+J23+J42+J47+J59+J102+J121+J135+J138+J146</f>
        <v>0</v>
      </c>
      <c r="K8" s="124"/>
      <c r="L8" s="18" t="s">
        <v>3</v>
      </c>
      <c r="M8" s="17">
        <f>M10+M23+M42+M47+M59+M102+M121+M135+M138+M146</f>
        <v>22.450339999999997</v>
      </c>
      <c r="N8" s="19" t="s">
        <v>3</v>
      </c>
    </row>
    <row r="9" spans="1:74" s="32" customFormat="1" ht="12" customHeight="1" thickBot="1" x14ac:dyDescent="0.3">
      <c r="A9" s="125"/>
      <c r="B9" s="126"/>
      <c r="C9" s="127"/>
      <c r="D9" s="128"/>
      <c r="E9" s="126"/>
      <c r="F9" s="126"/>
      <c r="G9" s="126"/>
      <c r="H9" s="124"/>
      <c r="I9" s="124"/>
      <c r="J9" s="124"/>
      <c r="K9" s="124"/>
      <c r="L9" s="40"/>
      <c r="M9" s="33"/>
      <c r="N9" s="41"/>
    </row>
    <row r="10" spans="1:74" x14ac:dyDescent="0.25">
      <c r="A10" s="84"/>
      <c r="B10" s="129" t="s">
        <v>3</v>
      </c>
      <c r="C10" s="130" t="s">
        <v>73</v>
      </c>
      <c r="D10" s="131" t="s">
        <v>74</v>
      </c>
      <c r="E10" s="132" t="s">
        <v>41</v>
      </c>
      <c r="F10" s="132" t="s">
        <v>41</v>
      </c>
      <c r="G10" s="132" t="s">
        <v>41</v>
      </c>
      <c r="H10" s="133">
        <f>SUM(H11:H22)</f>
        <v>0</v>
      </c>
      <c r="I10" s="133">
        <f>SUM(I11:I22)</f>
        <v>0</v>
      </c>
      <c r="J10" s="134">
        <f>SUM(J11:J22)</f>
        <v>0</v>
      </c>
      <c r="K10" s="124"/>
      <c r="L10" s="12" t="s">
        <v>3</v>
      </c>
      <c r="M10" s="10">
        <f>SUM(M11:M22)</f>
        <v>3.2020000000000007E-2</v>
      </c>
      <c r="N10" s="20" t="s">
        <v>3</v>
      </c>
      <c r="AG10" s="12" t="s">
        <v>3</v>
      </c>
      <c r="AQ10" s="10">
        <f>SUM(AH11:AH22)</f>
        <v>0</v>
      </c>
      <c r="AR10" s="10">
        <f>SUM(AI11:AI22)</f>
        <v>0</v>
      </c>
      <c r="AS10" s="10">
        <f>SUM(AJ11:AJ22)</f>
        <v>0</v>
      </c>
    </row>
    <row r="11" spans="1:74" ht="15" customHeight="1" x14ac:dyDescent="0.25">
      <c r="A11" s="84"/>
      <c r="B11" s="135" t="s">
        <v>75</v>
      </c>
      <c r="C11" s="85" t="s">
        <v>76</v>
      </c>
      <c r="D11" s="136" t="s">
        <v>77</v>
      </c>
      <c r="E11" s="85" t="s">
        <v>78</v>
      </c>
      <c r="F11" s="137">
        <v>10</v>
      </c>
      <c r="G11" s="166">
        <v>0</v>
      </c>
      <c r="H11" s="137">
        <f t="shared" ref="H11:H22" si="0">ROUND(F11*AM11,2)</f>
        <v>0</v>
      </c>
      <c r="I11" s="137">
        <f t="shared" ref="I11:I22" si="1">ROUND(F11*AN11,2)</f>
        <v>0</v>
      </c>
      <c r="J11" s="138">
        <f t="shared" ref="J11:J22" si="2">ROUND(F11*G11,2)</f>
        <v>0</v>
      </c>
      <c r="K11" s="139"/>
      <c r="L11" s="21">
        <v>4.0000000000000002E-4</v>
      </c>
      <c r="M11" s="21">
        <f t="shared" ref="M11:M22" si="3">F11*L11</f>
        <v>4.0000000000000001E-3</v>
      </c>
      <c r="N11" s="22" t="s">
        <v>79</v>
      </c>
      <c r="X11" s="21">
        <f t="shared" ref="X11:X22" si="4">ROUND(IF(AO11="5",BH11,0),2)</f>
        <v>0</v>
      </c>
      <c r="Z11" s="21">
        <f t="shared" ref="Z11:Z22" si="5">ROUND(IF(AO11="1",BF11,0),2)</f>
        <v>0</v>
      </c>
      <c r="AA11" s="21">
        <f t="shared" ref="AA11:AA22" si="6">ROUND(IF(AO11="1",BG11,0),2)</f>
        <v>0</v>
      </c>
      <c r="AB11" s="21">
        <f t="shared" ref="AB11:AB22" si="7">ROUND(IF(AO11="7",BF11,0),2)</f>
        <v>0</v>
      </c>
      <c r="AC11" s="21">
        <f t="shared" ref="AC11:AC22" si="8">ROUND(IF(AO11="7",BG11,0),2)</f>
        <v>0</v>
      </c>
      <c r="AD11" s="21">
        <f t="shared" ref="AD11:AD22" si="9">ROUND(IF(AO11="2",BF11,0),2)</f>
        <v>0</v>
      </c>
      <c r="AE11" s="21">
        <f t="shared" ref="AE11:AE22" si="10">ROUND(IF(AO11="2",BG11,0),2)</f>
        <v>0</v>
      </c>
      <c r="AF11" s="21">
        <f t="shared" ref="AF11:AF22" si="11">ROUND(IF(AO11="0",BH11,0),2)</f>
        <v>0</v>
      </c>
      <c r="AG11" s="12" t="s">
        <v>3</v>
      </c>
      <c r="AH11" s="21">
        <f t="shared" ref="AH11:AH22" si="12">IF(AL11=0,J11,0)</f>
        <v>0</v>
      </c>
      <c r="AI11" s="21">
        <f t="shared" ref="AI11:AI22" si="13">IF(AL11=12,J11,0)</f>
        <v>0</v>
      </c>
      <c r="AJ11" s="21">
        <f t="shared" ref="AJ11:AJ22" si="14">IF(AL11=21,J11,0)</f>
        <v>0</v>
      </c>
      <c r="AL11" s="21">
        <v>21</v>
      </c>
      <c r="AM11" s="21">
        <f>G11*0.358211921</f>
        <v>0</v>
      </c>
      <c r="AN11" s="21">
        <f>G11*(1-0.358211921)</f>
        <v>0</v>
      </c>
      <c r="AO11" s="23" t="s">
        <v>80</v>
      </c>
      <c r="AT11" s="21">
        <f t="shared" ref="AT11:AT22" si="15">ROUND(AU11+AV11,2)</f>
        <v>0</v>
      </c>
      <c r="AU11" s="21">
        <f t="shared" ref="AU11:AU22" si="16">ROUND(F11*AM11,2)</f>
        <v>0</v>
      </c>
      <c r="AV11" s="21">
        <f t="shared" ref="AV11:AV22" si="17">ROUND(F11*AN11,2)</f>
        <v>0</v>
      </c>
      <c r="AW11" s="23" t="s">
        <v>81</v>
      </c>
      <c r="AX11" s="23" t="s">
        <v>82</v>
      </c>
      <c r="AY11" s="12" t="s">
        <v>83</v>
      </c>
      <c r="BA11" s="21">
        <f t="shared" ref="BA11:BA22" si="18">AU11+AV11</f>
        <v>0</v>
      </c>
      <c r="BB11" s="21">
        <f t="shared" ref="BB11:BB22" si="19">G11/(100-BC11)*100</f>
        <v>0</v>
      </c>
      <c r="BC11" s="21">
        <v>0</v>
      </c>
      <c r="BD11" s="21">
        <f t="shared" ref="BD11:BD22" si="20">M11</f>
        <v>4.0000000000000001E-3</v>
      </c>
      <c r="BF11" s="21">
        <f t="shared" ref="BF11:BF22" si="21">F11*AM11</f>
        <v>0</v>
      </c>
      <c r="BG11" s="21">
        <f t="shared" ref="BG11:BG22" si="22">F11*AN11</f>
        <v>0</v>
      </c>
      <c r="BH11" s="21">
        <f t="shared" ref="BH11:BH22" si="23">F11*G11</f>
        <v>0</v>
      </c>
      <c r="BI11" s="23" t="s">
        <v>84</v>
      </c>
      <c r="BJ11" s="21">
        <v>722</v>
      </c>
      <c r="BU11" s="21" t="e">
        <f>#REF!</f>
        <v>#REF!</v>
      </c>
      <c r="BV11" s="1" t="s">
        <v>77</v>
      </c>
    </row>
    <row r="12" spans="1:74" ht="15" customHeight="1" x14ac:dyDescent="0.25">
      <c r="A12" s="84"/>
      <c r="B12" s="135" t="s">
        <v>85</v>
      </c>
      <c r="C12" s="85" t="s">
        <v>86</v>
      </c>
      <c r="D12" s="136" t="s">
        <v>87</v>
      </c>
      <c r="E12" s="85" t="s">
        <v>78</v>
      </c>
      <c r="F12" s="137">
        <v>17</v>
      </c>
      <c r="G12" s="166">
        <v>0</v>
      </c>
      <c r="H12" s="137">
        <f t="shared" si="0"/>
        <v>0</v>
      </c>
      <c r="I12" s="137">
        <f t="shared" si="1"/>
        <v>0</v>
      </c>
      <c r="J12" s="138">
        <f t="shared" si="2"/>
        <v>0</v>
      </c>
      <c r="K12" s="139"/>
      <c r="L12" s="21">
        <v>4.8000000000000001E-4</v>
      </c>
      <c r="M12" s="21">
        <f t="shared" si="3"/>
        <v>8.1600000000000006E-3</v>
      </c>
      <c r="N12" s="22" t="s">
        <v>79</v>
      </c>
      <c r="X12" s="21">
        <f t="shared" si="4"/>
        <v>0</v>
      </c>
      <c r="Z12" s="21">
        <f t="shared" si="5"/>
        <v>0</v>
      </c>
      <c r="AA12" s="21">
        <f t="shared" si="6"/>
        <v>0</v>
      </c>
      <c r="AB12" s="21">
        <f t="shared" si="7"/>
        <v>0</v>
      </c>
      <c r="AC12" s="21">
        <f t="shared" si="8"/>
        <v>0</v>
      </c>
      <c r="AD12" s="21">
        <f t="shared" si="9"/>
        <v>0</v>
      </c>
      <c r="AE12" s="21">
        <f t="shared" si="10"/>
        <v>0</v>
      </c>
      <c r="AF12" s="21">
        <f t="shared" si="11"/>
        <v>0</v>
      </c>
      <c r="AG12" s="12" t="s">
        <v>3</v>
      </c>
      <c r="AH12" s="21">
        <f t="shared" si="12"/>
        <v>0</v>
      </c>
      <c r="AI12" s="21">
        <f t="shared" si="13"/>
        <v>0</v>
      </c>
      <c r="AJ12" s="21">
        <f t="shared" si="14"/>
        <v>0</v>
      </c>
      <c r="AL12" s="21">
        <v>21</v>
      </c>
      <c r="AM12" s="21">
        <f>G12*0.431044776</f>
        <v>0</v>
      </c>
      <c r="AN12" s="21">
        <f>G12*(1-0.431044776)</f>
        <v>0</v>
      </c>
      <c r="AO12" s="23" t="s">
        <v>80</v>
      </c>
      <c r="AT12" s="21">
        <f t="shared" si="15"/>
        <v>0</v>
      </c>
      <c r="AU12" s="21">
        <f t="shared" si="16"/>
        <v>0</v>
      </c>
      <c r="AV12" s="21">
        <f t="shared" si="17"/>
        <v>0</v>
      </c>
      <c r="AW12" s="23" t="s">
        <v>81</v>
      </c>
      <c r="AX12" s="23" t="s">
        <v>82</v>
      </c>
      <c r="AY12" s="12" t="s">
        <v>83</v>
      </c>
      <c r="BA12" s="21">
        <f t="shared" si="18"/>
        <v>0</v>
      </c>
      <c r="BB12" s="21">
        <f t="shared" si="19"/>
        <v>0</v>
      </c>
      <c r="BC12" s="21">
        <v>0</v>
      </c>
      <c r="BD12" s="21">
        <f t="shared" si="20"/>
        <v>8.1600000000000006E-3</v>
      </c>
      <c r="BF12" s="21">
        <f t="shared" si="21"/>
        <v>0</v>
      </c>
      <c r="BG12" s="21">
        <f t="shared" si="22"/>
        <v>0</v>
      </c>
      <c r="BH12" s="21">
        <f t="shared" si="23"/>
        <v>0</v>
      </c>
      <c r="BI12" s="23" t="s">
        <v>84</v>
      </c>
      <c r="BJ12" s="21">
        <v>722</v>
      </c>
      <c r="BU12" s="21" t="e">
        <f>#REF!</f>
        <v>#REF!</v>
      </c>
      <c r="BV12" s="1" t="s">
        <v>87</v>
      </c>
    </row>
    <row r="13" spans="1:74" ht="15" customHeight="1" x14ac:dyDescent="0.25">
      <c r="A13" s="84"/>
      <c r="B13" s="135" t="s">
        <v>88</v>
      </c>
      <c r="C13" s="85" t="s">
        <v>89</v>
      </c>
      <c r="D13" s="136" t="s">
        <v>90</v>
      </c>
      <c r="E13" s="85" t="s">
        <v>78</v>
      </c>
      <c r="F13" s="137">
        <v>18</v>
      </c>
      <c r="G13" s="166">
        <v>0</v>
      </c>
      <c r="H13" s="137">
        <f t="shared" si="0"/>
        <v>0</v>
      </c>
      <c r="I13" s="137">
        <f t="shared" si="1"/>
        <v>0</v>
      </c>
      <c r="J13" s="138">
        <f t="shared" si="2"/>
        <v>0</v>
      </c>
      <c r="K13" s="139"/>
      <c r="L13" s="21">
        <v>6.4999999999999997E-4</v>
      </c>
      <c r="M13" s="21">
        <f t="shared" si="3"/>
        <v>1.1699999999999999E-2</v>
      </c>
      <c r="N13" s="22" t="s">
        <v>79</v>
      </c>
      <c r="X13" s="21">
        <f t="shared" si="4"/>
        <v>0</v>
      </c>
      <c r="Z13" s="21">
        <f t="shared" si="5"/>
        <v>0</v>
      </c>
      <c r="AA13" s="21">
        <f t="shared" si="6"/>
        <v>0</v>
      </c>
      <c r="AB13" s="21">
        <f t="shared" si="7"/>
        <v>0</v>
      </c>
      <c r="AC13" s="21">
        <f t="shared" si="8"/>
        <v>0</v>
      </c>
      <c r="AD13" s="21">
        <f t="shared" si="9"/>
        <v>0</v>
      </c>
      <c r="AE13" s="21">
        <f t="shared" si="10"/>
        <v>0</v>
      </c>
      <c r="AF13" s="21">
        <f t="shared" si="11"/>
        <v>0</v>
      </c>
      <c r="AG13" s="12" t="s">
        <v>3</v>
      </c>
      <c r="AH13" s="21">
        <f t="shared" si="12"/>
        <v>0</v>
      </c>
      <c r="AI13" s="21">
        <f t="shared" si="13"/>
        <v>0</v>
      </c>
      <c r="AJ13" s="21">
        <f t="shared" si="14"/>
        <v>0</v>
      </c>
      <c r="AL13" s="21">
        <v>21</v>
      </c>
      <c r="AM13" s="21">
        <f>G13*0.485098039</f>
        <v>0</v>
      </c>
      <c r="AN13" s="21">
        <f>G13*(1-0.485098039)</f>
        <v>0</v>
      </c>
      <c r="AO13" s="23" t="s">
        <v>80</v>
      </c>
      <c r="AT13" s="21">
        <f t="shared" si="15"/>
        <v>0</v>
      </c>
      <c r="AU13" s="21">
        <f t="shared" si="16"/>
        <v>0</v>
      </c>
      <c r="AV13" s="21">
        <f t="shared" si="17"/>
        <v>0</v>
      </c>
      <c r="AW13" s="23" t="s">
        <v>81</v>
      </c>
      <c r="AX13" s="23" t="s">
        <v>82</v>
      </c>
      <c r="AY13" s="12" t="s">
        <v>83</v>
      </c>
      <c r="BA13" s="21">
        <f t="shared" si="18"/>
        <v>0</v>
      </c>
      <c r="BB13" s="21">
        <f t="shared" si="19"/>
        <v>0</v>
      </c>
      <c r="BC13" s="21">
        <v>0</v>
      </c>
      <c r="BD13" s="21">
        <f t="shared" si="20"/>
        <v>1.1699999999999999E-2</v>
      </c>
      <c r="BF13" s="21">
        <f t="shared" si="21"/>
        <v>0</v>
      </c>
      <c r="BG13" s="21">
        <f t="shared" si="22"/>
        <v>0</v>
      </c>
      <c r="BH13" s="21">
        <f t="shared" si="23"/>
        <v>0</v>
      </c>
      <c r="BI13" s="23" t="s">
        <v>84</v>
      </c>
      <c r="BJ13" s="21">
        <v>722</v>
      </c>
      <c r="BU13" s="21" t="e">
        <f>#REF!</f>
        <v>#REF!</v>
      </c>
      <c r="BV13" s="1" t="s">
        <v>90</v>
      </c>
    </row>
    <row r="14" spans="1:74" ht="15" customHeight="1" x14ac:dyDescent="0.25">
      <c r="A14" s="84"/>
      <c r="B14" s="135" t="s">
        <v>91</v>
      </c>
      <c r="C14" s="85" t="s">
        <v>92</v>
      </c>
      <c r="D14" s="136" t="s">
        <v>93</v>
      </c>
      <c r="E14" s="85" t="s">
        <v>78</v>
      </c>
      <c r="F14" s="137">
        <v>8</v>
      </c>
      <c r="G14" s="166">
        <v>0</v>
      </c>
      <c r="H14" s="137">
        <f t="shared" si="0"/>
        <v>0</v>
      </c>
      <c r="I14" s="137">
        <f t="shared" si="1"/>
        <v>0</v>
      </c>
      <c r="J14" s="138">
        <f t="shared" si="2"/>
        <v>0</v>
      </c>
      <c r="K14" s="139"/>
      <c r="L14" s="21">
        <v>9.5E-4</v>
      </c>
      <c r="M14" s="21">
        <f t="shared" si="3"/>
        <v>7.6E-3</v>
      </c>
      <c r="N14" s="22" t="s">
        <v>79</v>
      </c>
      <c r="X14" s="21">
        <f t="shared" si="4"/>
        <v>0</v>
      </c>
      <c r="Z14" s="21">
        <f t="shared" si="5"/>
        <v>0</v>
      </c>
      <c r="AA14" s="21">
        <f t="shared" si="6"/>
        <v>0</v>
      </c>
      <c r="AB14" s="21">
        <f t="shared" si="7"/>
        <v>0</v>
      </c>
      <c r="AC14" s="21">
        <f t="shared" si="8"/>
        <v>0</v>
      </c>
      <c r="AD14" s="21">
        <f t="shared" si="9"/>
        <v>0</v>
      </c>
      <c r="AE14" s="21">
        <f t="shared" si="10"/>
        <v>0</v>
      </c>
      <c r="AF14" s="21">
        <f t="shared" si="11"/>
        <v>0</v>
      </c>
      <c r="AG14" s="12" t="s">
        <v>3</v>
      </c>
      <c r="AH14" s="21">
        <f t="shared" si="12"/>
        <v>0</v>
      </c>
      <c r="AI14" s="21">
        <f t="shared" si="13"/>
        <v>0</v>
      </c>
      <c r="AJ14" s="21">
        <f t="shared" si="14"/>
        <v>0</v>
      </c>
      <c r="AL14" s="21">
        <v>21</v>
      </c>
      <c r="AM14" s="21">
        <f>G14*0.621520315</f>
        <v>0</v>
      </c>
      <c r="AN14" s="21">
        <f>G14*(1-0.621520315)</f>
        <v>0</v>
      </c>
      <c r="AO14" s="23" t="s">
        <v>80</v>
      </c>
      <c r="AT14" s="21">
        <f t="shared" si="15"/>
        <v>0</v>
      </c>
      <c r="AU14" s="21">
        <f t="shared" si="16"/>
        <v>0</v>
      </c>
      <c r="AV14" s="21">
        <f t="shared" si="17"/>
        <v>0</v>
      </c>
      <c r="AW14" s="23" t="s">
        <v>81</v>
      </c>
      <c r="AX14" s="23" t="s">
        <v>82</v>
      </c>
      <c r="AY14" s="12" t="s">
        <v>83</v>
      </c>
      <c r="BA14" s="21">
        <f t="shared" si="18"/>
        <v>0</v>
      </c>
      <c r="BB14" s="21">
        <f t="shared" si="19"/>
        <v>0</v>
      </c>
      <c r="BC14" s="21">
        <v>0</v>
      </c>
      <c r="BD14" s="21">
        <f t="shared" si="20"/>
        <v>7.6E-3</v>
      </c>
      <c r="BF14" s="21">
        <f t="shared" si="21"/>
        <v>0</v>
      </c>
      <c r="BG14" s="21">
        <f t="shared" si="22"/>
        <v>0</v>
      </c>
      <c r="BH14" s="21">
        <f t="shared" si="23"/>
        <v>0</v>
      </c>
      <c r="BI14" s="23" t="s">
        <v>84</v>
      </c>
      <c r="BJ14" s="21">
        <v>722</v>
      </c>
      <c r="BU14" s="21" t="e">
        <f>#REF!</f>
        <v>#REF!</v>
      </c>
      <c r="BV14" s="1" t="s">
        <v>93</v>
      </c>
    </row>
    <row r="15" spans="1:74" x14ac:dyDescent="0.25">
      <c r="A15" s="84"/>
      <c r="B15" s="135" t="s">
        <v>94</v>
      </c>
      <c r="C15" s="85" t="s">
        <v>95</v>
      </c>
      <c r="D15" s="136" t="s">
        <v>96</v>
      </c>
      <c r="E15" s="85" t="s">
        <v>78</v>
      </c>
      <c r="F15" s="137">
        <v>10</v>
      </c>
      <c r="G15" s="166">
        <v>0</v>
      </c>
      <c r="H15" s="137">
        <f t="shared" si="0"/>
        <v>0</v>
      </c>
      <c r="I15" s="137">
        <f t="shared" si="1"/>
        <v>0</v>
      </c>
      <c r="J15" s="138">
        <f t="shared" si="2"/>
        <v>0</v>
      </c>
      <c r="K15" s="139"/>
      <c r="L15" s="21">
        <v>0</v>
      </c>
      <c r="M15" s="21">
        <f t="shared" si="3"/>
        <v>0</v>
      </c>
      <c r="N15" s="22" t="s">
        <v>79</v>
      </c>
      <c r="X15" s="21">
        <f t="shared" si="4"/>
        <v>0</v>
      </c>
      <c r="Z15" s="21">
        <f t="shared" si="5"/>
        <v>0</v>
      </c>
      <c r="AA15" s="21">
        <f t="shared" si="6"/>
        <v>0</v>
      </c>
      <c r="AB15" s="21">
        <f t="shared" si="7"/>
        <v>0</v>
      </c>
      <c r="AC15" s="21">
        <f t="shared" si="8"/>
        <v>0</v>
      </c>
      <c r="AD15" s="21">
        <f t="shared" si="9"/>
        <v>0</v>
      </c>
      <c r="AE15" s="21">
        <f t="shared" si="10"/>
        <v>0</v>
      </c>
      <c r="AF15" s="21">
        <f t="shared" si="11"/>
        <v>0</v>
      </c>
      <c r="AG15" s="12" t="s">
        <v>3</v>
      </c>
      <c r="AH15" s="21">
        <f t="shared" si="12"/>
        <v>0</v>
      </c>
      <c r="AI15" s="21">
        <f t="shared" si="13"/>
        <v>0</v>
      </c>
      <c r="AJ15" s="21">
        <f t="shared" si="14"/>
        <v>0</v>
      </c>
      <c r="AL15" s="21">
        <v>21</v>
      </c>
      <c r="AM15" s="21">
        <f>G15*0</f>
        <v>0</v>
      </c>
      <c r="AN15" s="21">
        <f>G15*(1-0)</f>
        <v>0</v>
      </c>
      <c r="AO15" s="23" t="s">
        <v>80</v>
      </c>
      <c r="AT15" s="21">
        <f t="shared" si="15"/>
        <v>0</v>
      </c>
      <c r="AU15" s="21">
        <f t="shared" si="16"/>
        <v>0</v>
      </c>
      <c r="AV15" s="21">
        <f t="shared" si="17"/>
        <v>0</v>
      </c>
      <c r="AW15" s="23" t="s">
        <v>81</v>
      </c>
      <c r="AX15" s="23" t="s">
        <v>82</v>
      </c>
      <c r="AY15" s="12" t="s">
        <v>83</v>
      </c>
      <c r="BA15" s="21">
        <f t="shared" si="18"/>
        <v>0</v>
      </c>
      <c r="BB15" s="21">
        <f t="shared" si="19"/>
        <v>0</v>
      </c>
      <c r="BC15" s="21">
        <v>0</v>
      </c>
      <c r="BD15" s="21">
        <f t="shared" si="20"/>
        <v>0</v>
      </c>
      <c r="BF15" s="21">
        <f t="shared" si="21"/>
        <v>0</v>
      </c>
      <c r="BG15" s="21">
        <f t="shared" si="22"/>
        <v>0</v>
      </c>
      <c r="BH15" s="21">
        <f t="shared" si="23"/>
        <v>0</v>
      </c>
      <c r="BI15" s="23" t="s">
        <v>84</v>
      </c>
      <c r="BJ15" s="21">
        <v>722</v>
      </c>
      <c r="BU15" s="21" t="e">
        <f>#REF!</f>
        <v>#REF!</v>
      </c>
      <c r="BV15" s="1" t="s">
        <v>96</v>
      </c>
    </row>
    <row r="16" spans="1:74" x14ac:dyDescent="0.25">
      <c r="A16" s="84"/>
      <c r="B16" s="135" t="s">
        <v>97</v>
      </c>
      <c r="C16" s="85" t="s">
        <v>98</v>
      </c>
      <c r="D16" s="136" t="s">
        <v>99</v>
      </c>
      <c r="E16" s="85" t="s">
        <v>78</v>
      </c>
      <c r="F16" s="137">
        <v>17</v>
      </c>
      <c r="G16" s="166">
        <v>0</v>
      </c>
      <c r="H16" s="137">
        <f t="shared" si="0"/>
        <v>0</v>
      </c>
      <c r="I16" s="137">
        <f t="shared" si="1"/>
        <v>0</v>
      </c>
      <c r="J16" s="138">
        <f t="shared" si="2"/>
        <v>0</v>
      </c>
      <c r="K16" s="139"/>
      <c r="L16" s="21">
        <v>0</v>
      </c>
      <c r="M16" s="21">
        <f t="shared" si="3"/>
        <v>0</v>
      </c>
      <c r="N16" s="22" t="s">
        <v>79</v>
      </c>
      <c r="X16" s="21">
        <f t="shared" si="4"/>
        <v>0</v>
      </c>
      <c r="Z16" s="21">
        <f t="shared" si="5"/>
        <v>0</v>
      </c>
      <c r="AA16" s="21">
        <f t="shared" si="6"/>
        <v>0</v>
      </c>
      <c r="AB16" s="21">
        <f t="shared" si="7"/>
        <v>0</v>
      </c>
      <c r="AC16" s="21">
        <f t="shared" si="8"/>
        <v>0</v>
      </c>
      <c r="AD16" s="21">
        <f t="shared" si="9"/>
        <v>0</v>
      </c>
      <c r="AE16" s="21">
        <f t="shared" si="10"/>
        <v>0</v>
      </c>
      <c r="AF16" s="21">
        <f t="shared" si="11"/>
        <v>0</v>
      </c>
      <c r="AG16" s="12" t="s">
        <v>3</v>
      </c>
      <c r="AH16" s="21">
        <f t="shared" si="12"/>
        <v>0</v>
      </c>
      <c r="AI16" s="21">
        <f t="shared" si="13"/>
        <v>0</v>
      </c>
      <c r="AJ16" s="21">
        <f t="shared" si="14"/>
        <v>0</v>
      </c>
      <c r="AL16" s="21">
        <v>21</v>
      </c>
      <c r="AM16" s="21">
        <f>G16*0</f>
        <v>0</v>
      </c>
      <c r="AN16" s="21">
        <f>G16*(1-0)</f>
        <v>0</v>
      </c>
      <c r="AO16" s="23" t="s">
        <v>80</v>
      </c>
      <c r="AT16" s="21">
        <f t="shared" si="15"/>
        <v>0</v>
      </c>
      <c r="AU16" s="21">
        <f t="shared" si="16"/>
        <v>0</v>
      </c>
      <c r="AV16" s="21">
        <f t="shared" si="17"/>
        <v>0</v>
      </c>
      <c r="AW16" s="23" t="s">
        <v>81</v>
      </c>
      <c r="AX16" s="23" t="s">
        <v>82</v>
      </c>
      <c r="AY16" s="12" t="s">
        <v>83</v>
      </c>
      <c r="BA16" s="21">
        <f t="shared" si="18"/>
        <v>0</v>
      </c>
      <c r="BB16" s="21">
        <f t="shared" si="19"/>
        <v>0</v>
      </c>
      <c r="BC16" s="21">
        <v>0</v>
      </c>
      <c r="BD16" s="21">
        <f t="shared" si="20"/>
        <v>0</v>
      </c>
      <c r="BF16" s="21">
        <f t="shared" si="21"/>
        <v>0</v>
      </c>
      <c r="BG16" s="21">
        <f t="shared" si="22"/>
        <v>0</v>
      </c>
      <c r="BH16" s="21">
        <f t="shared" si="23"/>
        <v>0</v>
      </c>
      <c r="BI16" s="23" t="s">
        <v>84</v>
      </c>
      <c r="BJ16" s="21">
        <v>722</v>
      </c>
      <c r="BU16" s="21" t="e">
        <f>#REF!</f>
        <v>#REF!</v>
      </c>
      <c r="BV16" s="1" t="s">
        <v>99</v>
      </c>
    </row>
    <row r="17" spans="1:74" ht="15" customHeight="1" x14ac:dyDescent="0.25">
      <c r="A17" s="84"/>
      <c r="B17" s="135" t="s">
        <v>80</v>
      </c>
      <c r="C17" s="85" t="s">
        <v>100</v>
      </c>
      <c r="D17" s="136" t="s">
        <v>101</v>
      </c>
      <c r="E17" s="85" t="s">
        <v>78</v>
      </c>
      <c r="F17" s="137">
        <v>18</v>
      </c>
      <c r="G17" s="166">
        <v>0</v>
      </c>
      <c r="H17" s="137">
        <f t="shared" si="0"/>
        <v>0</v>
      </c>
      <c r="I17" s="137">
        <f t="shared" si="1"/>
        <v>0</v>
      </c>
      <c r="J17" s="138">
        <f t="shared" si="2"/>
        <v>0</v>
      </c>
      <c r="K17" s="139"/>
      <c r="L17" s="21">
        <v>0</v>
      </c>
      <c r="M17" s="21">
        <f t="shared" si="3"/>
        <v>0</v>
      </c>
      <c r="N17" s="22" t="s">
        <v>79</v>
      </c>
      <c r="X17" s="21">
        <f t="shared" si="4"/>
        <v>0</v>
      </c>
      <c r="Z17" s="21">
        <f t="shared" si="5"/>
        <v>0</v>
      </c>
      <c r="AA17" s="21">
        <f t="shared" si="6"/>
        <v>0</v>
      </c>
      <c r="AB17" s="21">
        <f t="shared" si="7"/>
        <v>0</v>
      </c>
      <c r="AC17" s="21">
        <f t="shared" si="8"/>
        <v>0</v>
      </c>
      <c r="AD17" s="21">
        <f t="shared" si="9"/>
        <v>0</v>
      </c>
      <c r="AE17" s="21">
        <f t="shared" si="10"/>
        <v>0</v>
      </c>
      <c r="AF17" s="21">
        <f t="shared" si="11"/>
        <v>0</v>
      </c>
      <c r="AG17" s="12" t="s">
        <v>3</v>
      </c>
      <c r="AH17" s="21">
        <f t="shared" si="12"/>
        <v>0</v>
      </c>
      <c r="AI17" s="21">
        <f t="shared" si="13"/>
        <v>0</v>
      </c>
      <c r="AJ17" s="21">
        <f t="shared" si="14"/>
        <v>0</v>
      </c>
      <c r="AL17" s="21">
        <v>21</v>
      </c>
      <c r="AM17" s="21">
        <f>G17*0</f>
        <v>0</v>
      </c>
      <c r="AN17" s="21">
        <f>G17*(1-0)</f>
        <v>0</v>
      </c>
      <c r="AO17" s="23" t="s">
        <v>80</v>
      </c>
      <c r="AT17" s="21">
        <f t="shared" si="15"/>
        <v>0</v>
      </c>
      <c r="AU17" s="21">
        <f t="shared" si="16"/>
        <v>0</v>
      </c>
      <c r="AV17" s="21">
        <f t="shared" si="17"/>
        <v>0</v>
      </c>
      <c r="AW17" s="23" t="s">
        <v>81</v>
      </c>
      <c r="AX17" s="23" t="s">
        <v>82</v>
      </c>
      <c r="AY17" s="12" t="s">
        <v>83</v>
      </c>
      <c r="BA17" s="21">
        <f t="shared" si="18"/>
        <v>0</v>
      </c>
      <c r="BB17" s="21">
        <f t="shared" si="19"/>
        <v>0</v>
      </c>
      <c r="BC17" s="21">
        <v>0</v>
      </c>
      <c r="BD17" s="21">
        <f t="shared" si="20"/>
        <v>0</v>
      </c>
      <c r="BF17" s="21">
        <f t="shared" si="21"/>
        <v>0</v>
      </c>
      <c r="BG17" s="21">
        <f t="shared" si="22"/>
        <v>0</v>
      </c>
      <c r="BH17" s="21">
        <f t="shared" si="23"/>
        <v>0</v>
      </c>
      <c r="BI17" s="23" t="s">
        <v>84</v>
      </c>
      <c r="BJ17" s="21">
        <v>722</v>
      </c>
      <c r="BU17" s="21" t="e">
        <f>#REF!</f>
        <v>#REF!</v>
      </c>
      <c r="BV17" s="1" t="s">
        <v>101</v>
      </c>
    </row>
    <row r="18" spans="1:74" ht="15" customHeight="1" x14ac:dyDescent="0.25">
      <c r="A18" s="84"/>
      <c r="B18" s="135" t="s">
        <v>102</v>
      </c>
      <c r="C18" s="85" t="s">
        <v>103</v>
      </c>
      <c r="D18" s="136" t="s">
        <v>104</v>
      </c>
      <c r="E18" s="85" t="s">
        <v>78</v>
      </c>
      <c r="F18" s="137">
        <v>8</v>
      </c>
      <c r="G18" s="166">
        <v>0</v>
      </c>
      <c r="H18" s="137">
        <f t="shared" si="0"/>
        <v>0</v>
      </c>
      <c r="I18" s="137">
        <f t="shared" si="1"/>
        <v>0</v>
      </c>
      <c r="J18" s="138">
        <f t="shared" si="2"/>
        <v>0</v>
      </c>
      <c r="K18" s="139"/>
      <c r="L18" s="21">
        <v>0</v>
      </c>
      <c r="M18" s="21">
        <f t="shared" si="3"/>
        <v>0</v>
      </c>
      <c r="N18" s="22" t="s">
        <v>79</v>
      </c>
      <c r="X18" s="21">
        <f t="shared" si="4"/>
        <v>0</v>
      </c>
      <c r="Z18" s="21">
        <f t="shared" si="5"/>
        <v>0</v>
      </c>
      <c r="AA18" s="21">
        <f t="shared" si="6"/>
        <v>0</v>
      </c>
      <c r="AB18" s="21">
        <f t="shared" si="7"/>
        <v>0</v>
      </c>
      <c r="AC18" s="21">
        <f t="shared" si="8"/>
        <v>0</v>
      </c>
      <c r="AD18" s="21">
        <f t="shared" si="9"/>
        <v>0</v>
      </c>
      <c r="AE18" s="21">
        <f t="shared" si="10"/>
        <v>0</v>
      </c>
      <c r="AF18" s="21">
        <f t="shared" si="11"/>
        <v>0</v>
      </c>
      <c r="AG18" s="12" t="s">
        <v>3</v>
      </c>
      <c r="AH18" s="21">
        <f t="shared" si="12"/>
        <v>0</v>
      </c>
      <c r="AI18" s="21">
        <f t="shared" si="13"/>
        <v>0</v>
      </c>
      <c r="AJ18" s="21">
        <f t="shared" si="14"/>
        <v>0</v>
      </c>
      <c r="AL18" s="21">
        <v>21</v>
      </c>
      <c r="AM18" s="21">
        <f>G18*0</f>
        <v>0</v>
      </c>
      <c r="AN18" s="21">
        <f>G18*(1-0)</f>
        <v>0</v>
      </c>
      <c r="AO18" s="23" t="s">
        <v>80</v>
      </c>
      <c r="AT18" s="21">
        <f t="shared" si="15"/>
        <v>0</v>
      </c>
      <c r="AU18" s="21">
        <f t="shared" si="16"/>
        <v>0</v>
      </c>
      <c r="AV18" s="21">
        <f t="shared" si="17"/>
        <v>0</v>
      </c>
      <c r="AW18" s="23" t="s">
        <v>81</v>
      </c>
      <c r="AX18" s="23" t="s">
        <v>82</v>
      </c>
      <c r="AY18" s="12" t="s">
        <v>83</v>
      </c>
      <c r="BA18" s="21">
        <f t="shared" si="18"/>
        <v>0</v>
      </c>
      <c r="BB18" s="21">
        <f t="shared" si="19"/>
        <v>0</v>
      </c>
      <c r="BC18" s="21">
        <v>0</v>
      </c>
      <c r="BD18" s="21">
        <f t="shared" si="20"/>
        <v>0</v>
      </c>
      <c r="BF18" s="21">
        <f t="shared" si="21"/>
        <v>0</v>
      </c>
      <c r="BG18" s="21">
        <f t="shared" si="22"/>
        <v>0</v>
      </c>
      <c r="BH18" s="21">
        <f t="shared" si="23"/>
        <v>0</v>
      </c>
      <c r="BI18" s="23" t="s">
        <v>84</v>
      </c>
      <c r="BJ18" s="21">
        <v>722</v>
      </c>
      <c r="BU18" s="21" t="e">
        <f>#REF!</f>
        <v>#REF!</v>
      </c>
      <c r="BV18" s="1" t="s">
        <v>104</v>
      </c>
    </row>
    <row r="19" spans="1:74" ht="15" customHeight="1" x14ac:dyDescent="0.25">
      <c r="A19" s="84"/>
      <c r="B19" s="135" t="s">
        <v>105</v>
      </c>
      <c r="C19" s="85" t="s">
        <v>106</v>
      </c>
      <c r="D19" s="136" t="s">
        <v>107</v>
      </c>
      <c r="E19" s="85" t="s">
        <v>78</v>
      </c>
      <c r="F19" s="137">
        <v>55</v>
      </c>
      <c r="G19" s="166">
        <v>0</v>
      </c>
      <c r="H19" s="137">
        <f t="shared" si="0"/>
        <v>0</v>
      </c>
      <c r="I19" s="137">
        <f t="shared" si="1"/>
        <v>0</v>
      </c>
      <c r="J19" s="138">
        <f t="shared" si="2"/>
        <v>0</v>
      </c>
      <c r="K19" s="139"/>
      <c r="L19" s="21">
        <v>1.0000000000000001E-5</v>
      </c>
      <c r="M19" s="21">
        <f t="shared" si="3"/>
        <v>5.5000000000000003E-4</v>
      </c>
      <c r="N19" s="22" t="s">
        <v>79</v>
      </c>
      <c r="X19" s="21">
        <f t="shared" si="4"/>
        <v>0</v>
      </c>
      <c r="Z19" s="21">
        <f t="shared" si="5"/>
        <v>0</v>
      </c>
      <c r="AA19" s="21">
        <f t="shared" si="6"/>
        <v>0</v>
      </c>
      <c r="AB19" s="21">
        <f t="shared" si="7"/>
        <v>0</v>
      </c>
      <c r="AC19" s="21">
        <f t="shared" si="8"/>
        <v>0</v>
      </c>
      <c r="AD19" s="21">
        <f t="shared" si="9"/>
        <v>0</v>
      </c>
      <c r="AE19" s="21">
        <f t="shared" si="10"/>
        <v>0</v>
      </c>
      <c r="AF19" s="21">
        <f t="shared" si="11"/>
        <v>0</v>
      </c>
      <c r="AG19" s="12" t="s">
        <v>3</v>
      </c>
      <c r="AH19" s="21">
        <f t="shared" si="12"/>
        <v>0</v>
      </c>
      <c r="AI19" s="21">
        <f t="shared" si="13"/>
        <v>0</v>
      </c>
      <c r="AJ19" s="21">
        <f t="shared" si="14"/>
        <v>0</v>
      </c>
      <c r="AL19" s="21">
        <v>21</v>
      </c>
      <c r="AM19" s="21">
        <f>G19*0.047045952</f>
        <v>0</v>
      </c>
      <c r="AN19" s="21">
        <f>G19*(1-0.047045952)</f>
        <v>0</v>
      </c>
      <c r="AO19" s="23" t="s">
        <v>80</v>
      </c>
      <c r="AT19" s="21">
        <f t="shared" si="15"/>
        <v>0</v>
      </c>
      <c r="AU19" s="21">
        <f t="shared" si="16"/>
        <v>0</v>
      </c>
      <c r="AV19" s="21">
        <f t="shared" si="17"/>
        <v>0</v>
      </c>
      <c r="AW19" s="23" t="s">
        <v>81</v>
      </c>
      <c r="AX19" s="23" t="s">
        <v>82</v>
      </c>
      <c r="AY19" s="12" t="s">
        <v>83</v>
      </c>
      <c r="BA19" s="21">
        <f t="shared" si="18"/>
        <v>0</v>
      </c>
      <c r="BB19" s="21">
        <f t="shared" si="19"/>
        <v>0</v>
      </c>
      <c r="BC19" s="21">
        <v>0</v>
      </c>
      <c r="BD19" s="21">
        <f t="shared" si="20"/>
        <v>5.5000000000000003E-4</v>
      </c>
      <c r="BF19" s="21">
        <f t="shared" si="21"/>
        <v>0</v>
      </c>
      <c r="BG19" s="21">
        <f t="shared" si="22"/>
        <v>0</v>
      </c>
      <c r="BH19" s="21">
        <f t="shared" si="23"/>
        <v>0</v>
      </c>
      <c r="BI19" s="23" t="s">
        <v>84</v>
      </c>
      <c r="BJ19" s="21">
        <v>722</v>
      </c>
      <c r="BU19" s="21" t="e">
        <f>#REF!</f>
        <v>#REF!</v>
      </c>
      <c r="BV19" s="1" t="s">
        <v>107</v>
      </c>
    </row>
    <row r="20" spans="1:74" x14ac:dyDescent="0.25">
      <c r="A20" s="84"/>
      <c r="B20" s="135" t="s">
        <v>108</v>
      </c>
      <c r="C20" s="85" t="s">
        <v>109</v>
      </c>
      <c r="D20" s="136" t="s">
        <v>110</v>
      </c>
      <c r="E20" s="85" t="s">
        <v>78</v>
      </c>
      <c r="F20" s="137">
        <v>55</v>
      </c>
      <c r="G20" s="166">
        <v>0</v>
      </c>
      <c r="H20" s="137">
        <f t="shared" si="0"/>
        <v>0</v>
      </c>
      <c r="I20" s="137">
        <f t="shared" si="1"/>
        <v>0</v>
      </c>
      <c r="J20" s="138">
        <f t="shared" si="2"/>
        <v>0</v>
      </c>
      <c r="K20" s="139"/>
      <c r="L20" s="21">
        <v>0</v>
      </c>
      <c r="M20" s="21">
        <f t="shared" si="3"/>
        <v>0</v>
      </c>
      <c r="N20" s="22" t="s">
        <v>79</v>
      </c>
      <c r="X20" s="21">
        <f t="shared" si="4"/>
        <v>0</v>
      </c>
      <c r="Z20" s="21">
        <f t="shared" si="5"/>
        <v>0</v>
      </c>
      <c r="AA20" s="21">
        <f t="shared" si="6"/>
        <v>0</v>
      </c>
      <c r="AB20" s="21">
        <f t="shared" si="7"/>
        <v>0</v>
      </c>
      <c r="AC20" s="21">
        <f t="shared" si="8"/>
        <v>0</v>
      </c>
      <c r="AD20" s="21">
        <f t="shared" si="9"/>
        <v>0</v>
      </c>
      <c r="AE20" s="21">
        <f t="shared" si="10"/>
        <v>0</v>
      </c>
      <c r="AF20" s="21">
        <f t="shared" si="11"/>
        <v>0</v>
      </c>
      <c r="AG20" s="12" t="s">
        <v>3</v>
      </c>
      <c r="AH20" s="21">
        <f t="shared" si="12"/>
        <v>0</v>
      </c>
      <c r="AI20" s="21">
        <f t="shared" si="13"/>
        <v>0</v>
      </c>
      <c r="AJ20" s="21">
        <f t="shared" si="14"/>
        <v>0</v>
      </c>
      <c r="AL20" s="21">
        <v>21</v>
      </c>
      <c r="AM20" s="21">
        <f>G20*0.020189274</f>
        <v>0</v>
      </c>
      <c r="AN20" s="21">
        <f>G20*(1-0.020189274)</f>
        <v>0</v>
      </c>
      <c r="AO20" s="23" t="s">
        <v>80</v>
      </c>
      <c r="AT20" s="21">
        <f t="shared" si="15"/>
        <v>0</v>
      </c>
      <c r="AU20" s="21">
        <f t="shared" si="16"/>
        <v>0</v>
      </c>
      <c r="AV20" s="21">
        <f t="shared" si="17"/>
        <v>0</v>
      </c>
      <c r="AW20" s="23" t="s">
        <v>81</v>
      </c>
      <c r="AX20" s="23" t="s">
        <v>82</v>
      </c>
      <c r="AY20" s="12" t="s">
        <v>83</v>
      </c>
      <c r="BA20" s="21">
        <f t="shared" si="18"/>
        <v>0</v>
      </c>
      <c r="BB20" s="21">
        <f t="shared" si="19"/>
        <v>0</v>
      </c>
      <c r="BC20" s="21">
        <v>0</v>
      </c>
      <c r="BD20" s="21">
        <f t="shared" si="20"/>
        <v>0</v>
      </c>
      <c r="BF20" s="21">
        <f t="shared" si="21"/>
        <v>0</v>
      </c>
      <c r="BG20" s="21">
        <f t="shared" si="22"/>
        <v>0</v>
      </c>
      <c r="BH20" s="21">
        <f t="shared" si="23"/>
        <v>0</v>
      </c>
      <c r="BI20" s="23" t="s">
        <v>84</v>
      </c>
      <c r="BJ20" s="21">
        <v>722</v>
      </c>
      <c r="BU20" s="21" t="e">
        <f>#REF!</f>
        <v>#REF!</v>
      </c>
      <c r="BV20" s="1" t="s">
        <v>110</v>
      </c>
    </row>
    <row r="21" spans="1:74" x14ac:dyDescent="0.25">
      <c r="A21" s="84"/>
      <c r="B21" s="135" t="s">
        <v>111</v>
      </c>
      <c r="C21" s="85" t="s">
        <v>112</v>
      </c>
      <c r="D21" s="136" t="s">
        <v>113</v>
      </c>
      <c r="E21" s="85" t="s">
        <v>114</v>
      </c>
      <c r="F21" s="137">
        <v>1</v>
      </c>
      <c r="G21" s="166">
        <v>0</v>
      </c>
      <c r="H21" s="137">
        <f t="shared" si="0"/>
        <v>0</v>
      </c>
      <c r="I21" s="137">
        <f t="shared" si="1"/>
        <v>0</v>
      </c>
      <c r="J21" s="138">
        <f t="shared" si="2"/>
        <v>0</v>
      </c>
      <c r="K21" s="139"/>
      <c r="L21" s="21">
        <v>1.0000000000000001E-5</v>
      </c>
      <c r="M21" s="21">
        <f t="shared" si="3"/>
        <v>1.0000000000000001E-5</v>
      </c>
      <c r="N21" s="22" t="s">
        <v>3</v>
      </c>
      <c r="X21" s="21">
        <f t="shared" si="4"/>
        <v>0</v>
      </c>
      <c r="Z21" s="21">
        <f t="shared" si="5"/>
        <v>0</v>
      </c>
      <c r="AA21" s="21">
        <f t="shared" si="6"/>
        <v>0</v>
      </c>
      <c r="AB21" s="21">
        <f t="shared" si="7"/>
        <v>0</v>
      </c>
      <c r="AC21" s="21">
        <f t="shared" si="8"/>
        <v>0</v>
      </c>
      <c r="AD21" s="21">
        <f t="shared" si="9"/>
        <v>0</v>
      </c>
      <c r="AE21" s="21">
        <f t="shared" si="10"/>
        <v>0</v>
      </c>
      <c r="AF21" s="21">
        <f t="shared" si="11"/>
        <v>0</v>
      </c>
      <c r="AG21" s="12" t="s">
        <v>3</v>
      </c>
      <c r="AH21" s="21">
        <f t="shared" si="12"/>
        <v>0</v>
      </c>
      <c r="AI21" s="21">
        <f t="shared" si="13"/>
        <v>0</v>
      </c>
      <c r="AJ21" s="21">
        <f t="shared" si="14"/>
        <v>0</v>
      </c>
      <c r="AL21" s="21">
        <v>21</v>
      </c>
      <c r="AM21" s="21">
        <f>G21*0.049209091</f>
        <v>0</v>
      </c>
      <c r="AN21" s="21">
        <f>G21*(1-0.049209091)</f>
        <v>0</v>
      </c>
      <c r="AO21" s="23" t="s">
        <v>80</v>
      </c>
      <c r="AT21" s="21">
        <f t="shared" si="15"/>
        <v>0</v>
      </c>
      <c r="AU21" s="21">
        <f t="shared" si="16"/>
        <v>0</v>
      </c>
      <c r="AV21" s="21">
        <f t="shared" si="17"/>
        <v>0</v>
      </c>
      <c r="AW21" s="23" t="s">
        <v>81</v>
      </c>
      <c r="AX21" s="23" t="s">
        <v>82</v>
      </c>
      <c r="AY21" s="12" t="s">
        <v>83</v>
      </c>
      <c r="BA21" s="21">
        <f t="shared" si="18"/>
        <v>0</v>
      </c>
      <c r="BB21" s="21">
        <f t="shared" si="19"/>
        <v>0</v>
      </c>
      <c r="BC21" s="21">
        <v>0</v>
      </c>
      <c r="BD21" s="21">
        <f t="shared" si="20"/>
        <v>1.0000000000000001E-5</v>
      </c>
      <c r="BF21" s="21">
        <f t="shared" si="21"/>
        <v>0</v>
      </c>
      <c r="BG21" s="21">
        <f t="shared" si="22"/>
        <v>0</v>
      </c>
      <c r="BH21" s="21">
        <f t="shared" si="23"/>
        <v>0</v>
      </c>
      <c r="BI21" s="23" t="s">
        <v>84</v>
      </c>
      <c r="BJ21" s="21">
        <v>722</v>
      </c>
      <c r="BU21" s="21" t="e">
        <f>#REF!</f>
        <v>#REF!</v>
      </c>
      <c r="BV21" s="1" t="s">
        <v>113</v>
      </c>
    </row>
    <row r="22" spans="1:74" ht="15" customHeight="1" x14ac:dyDescent="0.25">
      <c r="A22" s="84"/>
      <c r="B22" s="135" t="s">
        <v>115</v>
      </c>
      <c r="C22" s="85" t="s">
        <v>116</v>
      </c>
      <c r="D22" s="136" t="s">
        <v>117</v>
      </c>
      <c r="E22" s="85" t="s">
        <v>118</v>
      </c>
      <c r="F22" s="137">
        <v>1.27</v>
      </c>
      <c r="G22" s="166">
        <v>0</v>
      </c>
      <c r="H22" s="137">
        <f t="shared" si="0"/>
        <v>0</v>
      </c>
      <c r="I22" s="137">
        <f t="shared" si="1"/>
        <v>0</v>
      </c>
      <c r="J22" s="138">
        <f t="shared" si="2"/>
        <v>0</v>
      </c>
      <c r="K22" s="139"/>
      <c r="L22" s="21">
        <v>0</v>
      </c>
      <c r="M22" s="21">
        <f t="shared" si="3"/>
        <v>0</v>
      </c>
      <c r="N22" s="22" t="s">
        <v>79</v>
      </c>
      <c r="X22" s="21">
        <f t="shared" si="4"/>
        <v>0</v>
      </c>
      <c r="Z22" s="21">
        <f t="shared" si="5"/>
        <v>0</v>
      </c>
      <c r="AA22" s="21">
        <f t="shared" si="6"/>
        <v>0</v>
      </c>
      <c r="AB22" s="21">
        <f t="shared" si="7"/>
        <v>0</v>
      </c>
      <c r="AC22" s="21">
        <f t="shared" si="8"/>
        <v>0</v>
      </c>
      <c r="AD22" s="21">
        <f t="shared" si="9"/>
        <v>0</v>
      </c>
      <c r="AE22" s="21">
        <f t="shared" si="10"/>
        <v>0</v>
      </c>
      <c r="AF22" s="21">
        <f t="shared" si="11"/>
        <v>0</v>
      </c>
      <c r="AG22" s="12" t="s">
        <v>3</v>
      </c>
      <c r="AH22" s="21">
        <f t="shared" si="12"/>
        <v>0</v>
      </c>
      <c r="AI22" s="21">
        <f t="shared" si="13"/>
        <v>0</v>
      </c>
      <c r="AJ22" s="21">
        <f t="shared" si="14"/>
        <v>0</v>
      </c>
      <c r="AL22" s="21">
        <v>21</v>
      </c>
      <c r="AM22" s="21">
        <f>G22*0</f>
        <v>0</v>
      </c>
      <c r="AN22" s="21">
        <f>G22*(1-0)</f>
        <v>0</v>
      </c>
      <c r="AO22" s="23" t="s">
        <v>94</v>
      </c>
      <c r="AT22" s="21">
        <f t="shared" si="15"/>
        <v>0</v>
      </c>
      <c r="AU22" s="21">
        <f t="shared" si="16"/>
        <v>0</v>
      </c>
      <c r="AV22" s="21">
        <f t="shared" si="17"/>
        <v>0</v>
      </c>
      <c r="AW22" s="23" t="s">
        <v>81</v>
      </c>
      <c r="AX22" s="23" t="s">
        <v>82</v>
      </c>
      <c r="AY22" s="12" t="s">
        <v>83</v>
      </c>
      <c r="BA22" s="21">
        <f t="shared" si="18"/>
        <v>0</v>
      </c>
      <c r="BB22" s="21">
        <f t="shared" si="19"/>
        <v>0</v>
      </c>
      <c r="BC22" s="21">
        <v>0</v>
      </c>
      <c r="BD22" s="21">
        <f t="shared" si="20"/>
        <v>0</v>
      </c>
      <c r="BF22" s="21">
        <f t="shared" si="21"/>
        <v>0</v>
      </c>
      <c r="BG22" s="21">
        <f t="shared" si="22"/>
        <v>0</v>
      </c>
      <c r="BH22" s="21">
        <f t="shared" si="23"/>
        <v>0</v>
      </c>
      <c r="BI22" s="23" t="s">
        <v>84</v>
      </c>
      <c r="BJ22" s="21">
        <v>722</v>
      </c>
      <c r="BU22" s="21" t="e">
        <f>#REF!</f>
        <v>#REF!</v>
      </c>
      <c r="BV22" s="1" t="s">
        <v>117</v>
      </c>
    </row>
    <row r="23" spans="1:74" x14ac:dyDescent="0.25">
      <c r="A23" s="84"/>
      <c r="B23" s="140" t="s">
        <v>3</v>
      </c>
      <c r="C23" s="121" t="s">
        <v>119</v>
      </c>
      <c r="D23" s="122" t="s">
        <v>378</v>
      </c>
      <c r="E23" s="120" t="s">
        <v>41</v>
      </c>
      <c r="F23" s="120" t="s">
        <v>41</v>
      </c>
      <c r="G23" s="167" t="s">
        <v>41</v>
      </c>
      <c r="H23" s="123">
        <f>SUM(H25:H41)</f>
        <v>0</v>
      </c>
      <c r="I23" s="123">
        <f>SUM(I25:I41)</f>
        <v>0</v>
      </c>
      <c r="J23" s="141">
        <f>SUM(J25:J41)</f>
        <v>0</v>
      </c>
      <c r="K23" s="124"/>
      <c r="L23" s="12" t="s">
        <v>3</v>
      </c>
      <c r="M23" s="10">
        <f>SUM(M25:M41)</f>
        <v>2.325E-2</v>
      </c>
      <c r="N23" s="20" t="s">
        <v>3</v>
      </c>
      <c r="AG23" s="12" t="s">
        <v>3</v>
      </c>
      <c r="AQ23" s="10">
        <f>SUM(AH25:AH41)</f>
        <v>0</v>
      </c>
      <c r="AR23" s="10">
        <f>SUM(AI25:AI41)</f>
        <v>0</v>
      </c>
      <c r="AS23" s="10">
        <f>SUM(AJ25:AJ41)</f>
        <v>0</v>
      </c>
    </row>
    <row r="24" spans="1:74" x14ac:dyDescent="0.25">
      <c r="A24" s="84"/>
      <c r="B24" s="135"/>
      <c r="C24" s="142" t="s">
        <v>28</v>
      </c>
      <c r="D24" s="143" t="s">
        <v>379</v>
      </c>
      <c r="E24" s="85"/>
      <c r="F24" s="137"/>
      <c r="G24" s="166"/>
      <c r="H24" s="137"/>
      <c r="I24" s="137"/>
      <c r="J24" s="138"/>
      <c r="K24" s="139"/>
      <c r="L24" s="21"/>
      <c r="M24" s="21"/>
      <c r="N24" s="22"/>
      <c r="X24" s="21"/>
      <c r="Z24" s="21"/>
      <c r="AA24" s="21"/>
      <c r="AB24" s="21"/>
      <c r="AC24" s="21"/>
      <c r="AD24" s="21"/>
      <c r="AE24" s="21"/>
      <c r="AF24" s="21"/>
      <c r="AG24" s="12"/>
      <c r="AH24" s="21"/>
      <c r="AI24" s="21"/>
      <c r="AJ24" s="21"/>
      <c r="AL24" s="21"/>
      <c r="AM24" s="21"/>
      <c r="AN24" s="21"/>
      <c r="AO24" s="23"/>
      <c r="AT24" s="21"/>
      <c r="AU24" s="21"/>
      <c r="AV24" s="21"/>
      <c r="AW24" s="23"/>
      <c r="AX24" s="23"/>
      <c r="AY24" s="12"/>
      <c r="BA24" s="21"/>
      <c r="BB24" s="21"/>
      <c r="BC24" s="21"/>
      <c r="BD24" s="21"/>
      <c r="BF24" s="21"/>
      <c r="BG24" s="21"/>
      <c r="BH24" s="21"/>
      <c r="BI24" s="23"/>
      <c r="BJ24" s="21"/>
      <c r="BU24" s="21"/>
      <c r="BV24" s="28"/>
    </row>
    <row r="25" spans="1:74" x14ac:dyDescent="0.25">
      <c r="A25" s="84"/>
      <c r="B25" s="135">
        <v>13</v>
      </c>
      <c r="C25" s="85" t="s">
        <v>124</v>
      </c>
      <c r="D25" s="136" t="s">
        <v>367</v>
      </c>
      <c r="E25" s="85" t="s">
        <v>122</v>
      </c>
      <c r="F25" s="137">
        <v>1</v>
      </c>
      <c r="G25" s="166">
        <v>0</v>
      </c>
      <c r="H25" s="137">
        <f>ROUND(F25*AM25,2)</f>
        <v>0</v>
      </c>
      <c r="I25" s="137">
        <f>ROUND(F25*AN25,2)</f>
        <v>0</v>
      </c>
      <c r="J25" s="138">
        <f>ROUND(F25*G25,2)</f>
        <v>0</v>
      </c>
      <c r="K25" s="139"/>
      <c r="L25" s="21">
        <v>1.2E-4</v>
      </c>
      <c r="M25" s="21">
        <f>F25*L25</f>
        <v>1.2E-4</v>
      </c>
      <c r="N25" s="22" t="s">
        <v>79</v>
      </c>
      <c r="X25" s="21">
        <f>ROUND(IF(AO25="5",BH25,0),2)</f>
        <v>0</v>
      </c>
      <c r="Z25" s="21">
        <f>ROUND(IF(AO25="1",BF25,0),2)</f>
        <v>0</v>
      </c>
      <c r="AA25" s="21">
        <f>ROUND(IF(AO25="1",BG25,0),2)</f>
        <v>0</v>
      </c>
      <c r="AB25" s="21">
        <f>ROUND(IF(AO25="7",BF25,0),2)</f>
        <v>0</v>
      </c>
      <c r="AC25" s="21">
        <f>ROUND(IF(AO25="7",BG25,0),2)</f>
        <v>0</v>
      </c>
      <c r="AD25" s="21">
        <f>ROUND(IF(AO25="2",BF25,0),2)</f>
        <v>0</v>
      </c>
      <c r="AE25" s="21">
        <f>ROUND(IF(AO25="2",BG25,0),2)</f>
        <v>0</v>
      </c>
      <c r="AF25" s="21">
        <f>ROUND(IF(AO25="0",BH25,0),2)</f>
        <v>0</v>
      </c>
      <c r="AG25" s="12" t="s">
        <v>3</v>
      </c>
      <c r="AH25" s="21">
        <f>IF(AL25=0,J25,0)</f>
        <v>0</v>
      </c>
      <c r="AI25" s="21">
        <f>IF(AL25=12,J25,0)</f>
        <v>0</v>
      </c>
      <c r="AJ25" s="21">
        <f>IF(AL25=21,J25,0)</f>
        <v>0</v>
      </c>
      <c r="AL25" s="21">
        <v>21</v>
      </c>
      <c r="AM25" s="21">
        <f>G25*0.205007007</f>
        <v>0</v>
      </c>
      <c r="AN25" s="21">
        <f>G25*(1-0.205007007)</f>
        <v>0</v>
      </c>
      <c r="AO25" s="23" t="s">
        <v>80</v>
      </c>
      <c r="AT25" s="21">
        <f>ROUND(AU25+AV25,2)</f>
        <v>0</v>
      </c>
      <c r="AU25" s="21">
        <f>ROUND(F25*AM25,2)</f>
        <v>0</v>
      </c>
      <c r="AV25" s="21">
        <f>ROUND(F25*AN25,2)</f>
        <v>0</v>
      </c>
      <c r="AW25" s="23" t="s">
        <v>121</v>
      </c>
      <c r="AX25" s="23" t="s">
        <v>82</v>
      </c>
      <c r="AY25" s="12" t="s">
        <v>83</v>
      </c>
      <c r="BA25" s="21">
        <f>AU25+AV25</f>
        <v>0</v>
      </c>
      <c r="BB25" s="21">
        <f>G25/(100-BC25)*100</f>
        <v>0</v>
      </c>
      <c r="BC25" s="21">
        <v>0</v>
      </c>
      <c r="BD25" s="21">
        <f>M25</f>
        <v>1.2E-4</v>
      </c>
      <c r="BF25" s="21">
        <f>F25*AM25</f>
        <v>0</v>
      </c>
      <c r="BG25" s="21">
        <f>F25*AN25</f>
        <v>0</v>
      </c>
      <c r="BH25" s="21">
        <f>F25*G25</f>
        <v>0</v>
      </c>
      <c r="BI25" s="23" t="s">
        <v>84</v>
      </c>
      <c r="BJ25" s="21">
        <v>725</v>
      </c>
      <c r="BU25" s="21" t="e">
        <f>#REF!</f>
        <v>#REF!</v>
      </c>
      <c r="BV25" s="1" t="s">
        <v>125</v>
      </c>
    </row>
    <row r="26" spans="1:74" x14ac:dyDescent="0.25">
      <c r="A26" s="84"/>
      <c r="B26" s="135">
        <v>14</v>
      </c>
      <c r="C26" s="85" t="s">
        <v>126</v>
      </c>
      <c r="D26" s="136" t="s">
        <v>127</v>
      </c>
      <c r="E26" s="85" t="s">
        <v>122</v>
      </c>
      <c r="F26" s="137">
        <v>1</v>
      </c>
      <c r="G26" s="166">
        <v>0</v>
      </c>
      <c r="H26" s="137">
        <f>ROUND(F26*AM26,2)</f>
        <v>0</v>
      </c>
      <c r="I26" s="137">
        <f>ROUND(F26*AN26,2)</f>
        <v>0</v>
      </c>
      <c r="J26" s="138">
        <f>ROUND(F26*G26,2)</f>
        <v>0</v>
      </c>
      <c r="K26" s="139"/>
      <c r="L26" s="21">
        <v>2.5999999999999998E-4</v>
      </c>
      <c r="M26" s="21">
        <f>F26*L26</f>
        <v>2.5999999999999998E-4</v>
      </c>
      <c r="N26" s="22" t="s">
        <v>79</v>
      </c>
      <c r="X26" s="21">
        <f>ROUND(IF(AO26="5",BH26,0),2)</f>
        <v>0</v>
      </c>
      <c r="Z26" s="21">
        <f>ROUND(IF(AO26="1",BF26,0),2)</f>
        <v>0</v>
      </c>
      <c r="AA26" s="21">
        <f>ROUND(IF(AO26="1",BG26,0),2)</f>
        <v>0</v>
      </c>
      <c r="AB26" s="21">
        <f>ROUND(IF(AO26="7",BF26,0),2)</f>
        <v>0</v>
      </c>
      <c r="AC26" s="21">
        <f>ROUND(IF(AO26="7",BG26,0),2)</f>
        <v>0</v>
      </c>
      <c r="AD26" s="21">
        <f>ROUND(IF(AO26="2",BF26,0),2)</f>
        <v>0</v>
      </c>
      <c r="AE26" s="21">
        <f>ROUND(IF(AO26="2",BG26,0),2)</f>
        <v>0</v>
      </c>
      <c r="AF26" s="21">
        <f>ROUND(IF(AO26="0",BH26,0),2)</f>
        <v>0</v>
      </c>
      <c r="AG26" s="12" t="s">
        <v>3</v>
      </c>
      <c r="AH26" s="21">
        <f>IF(AL26=0,J26,0)</f>
        <v>0</v>
      </c>
      <c r="AI26" s="21">
        <f>IF(AL26=12,J26,0)</f>
        <v>0</v>
      </c>
      <c r="AJ26" s="21">
        <f>IF(AL26=21,J26,0)</f>
        <v>0</v>
      </c>
      <c r="AL26" s="21">
        <v>21</v>
      </c>
      <c r="AM26" s="21">
        <f>G26*0.718200949</f>
        <v>0</v>
      </c>
      <c r="AN26" s="21">
        <f>G26*(1-0.718200949)</f>
        <v>0</v>
      </c>
      <c r="AO26" s="23" t="s">
        <v>80</v>
      </c>
      <c r="AT26" s="21">
        <f>ROUND(AU26+AV26,2)</f>
        <v>0</v>
      </c>
      <c r="AU26" s="21">
        <f>ROUND(F26*AM26,2)</f>
        <v>0</v>
      </c>
      <c r="AV26" s="21">
        <f>ROUND(F26*AN26,2)</f>
        <v>0</v>
      </c>
      <c r="AW26" s="23" t="s">
        <v>121</v>
      </c>
      <c r="AX26" s="23" t="s">
        <v>82</v>
      </c>
      <c r="AY26" s="12" t="s">
        <v>83</v>
      </c>
      <c r="BA26" s="21">
        <f>AU26+AV26</f>
        <v>0</v>
      </c>
      <c r="BB26" s="21">
        <f>G26/(100-BC26)*100</f>
        <v>0</v>
      </c>
      <c r="BC26" s="21">
        <v>0</v>
      </c>
      <c r="BD26" s="21">
        <f>M26</f>
        <v>2.5999999999999998E-4</v>
      </c>
      <c r="BF26" s="21">
        <f>F26*AM26</f>
        <v>0</v>
      </c>
      <c r="BG26" s="21">
        <f>F26*AN26</f>
        <v>0</v>
      </c>
      <c r="BH26" s="21">
        <f>F26*G26</f>
        <v>0</v>
      </c>
      <c r="BI26" s="23" t="s">
        <v>84</v>
      </c>
      <c r="BJ26" s="21">
        <v>725</v>
      </c>
      <c r="BU26" s="21" t="e">
        <f>#REF!</f>
        <v>#REF!</v>
      </c>
      <c r="BV26" s="1" t="s">
        <v>127</v>
      </c>
    </row>
    <row r="27" spans="1:74" ht="13.5" customHeight="1" x14ac:dyDescent="0.25">
      <c r="A27" s="84"/>
      <c r="B27" s="144"/>
      <c r="C27" s="145" t="s">
        <v>123</v>
      </c>
      <c r="D27" s="146" t="s">
        <v>128</v>
      </c>
      <c r="E27" s="147"/>
      <c r="F27" s="147"/>
      <c r="G27" s="168"/>
      <c r="H27" s="147"/>
      <c r="I27" s="147"/>
      <c r="J27" s="148"/>
      <c r="K27" s="149"/>
      <c r="L27" s="29"/>
      <c r="M27" s="29"/>
      <c r="N27" s="30"/>
    </row>
    <row r="28" spans="1:74" ht="16.5" customHeight="1" x14ac:dyDescent="0.25">
      <c r="A28" s="84"/>
      <c r="B28" s="135">
        <v>15</v>
      </c>
      <c r="C28" s="85" t="s">
        <v>129</v>
      </c>
      <c r="D28" s="136" t="s">
        <v>380</v>
      </c>
      <c r="E28" s="85" t="s">
        <v>122</v>
      </c>
      <c r="F28" s="137">
        <v>1</v>
      </c>
      <c r="G28" s="166">
        <v>0</v>
      </c>
      <c r="H28" s="137">
        <f>ROUND(F28*AM28,2)</f>
        <v>0</v>
      </c>
      <c r="I28" s="137">
        <f>ROUND(F28*AN28,2)</f>
        <v>0</v>
      </c>
      <c r="J28" s="138">
        <f>ROUND(F28*G28,2)</f>
        <v>0</v>
      </c>
      <c r="K28" s="139"/>
      <c r="L28" s="21">
        <v>1.4E-2</v>
      </c>
      <c r="M28" s="21">
        <f>F28*L28</f>
        <v>1.4E-2</v>
      </c>
      <c r="N28" s="22" t="s">
        <v>3</v>
      </c>
      <c r="X28" s="21">
        <f>ROUND(IF(AO28="5",BH28,0),2)</f>
        <v>0</v>
      </c>
      <c r="Z28" s="21">
        <f>ROUND(IF(AO28="1",BF28,0),2)</f>
        <v>0</v>
      </c>
      <c r="AA28" s="21">
        <f>ROUND(IF(AO28="1",BG28,0),2)</f>
        <v>0</v>
      </c>
      <c r="AB28" s="21">
        <f>ROUND(IF(AO28="7",BF28,0),2)</f>
        <v>0</v>
      </c>
      <c r="AC28" s="21">
        <f>ROUND(IF(AO28="7",BG28,0),2)</f>
        <v>0</v>
      </c>
      <c r="AD28" s="21">
        <f>ROUND(IF(AO28="2",BF28,0),2)</f>
        <v>0</v>
      </c>
      <c r="AE28" s="21">
        <f>ROUND(IF(AO28="2",BG28,0),2)</f>
        <v>0</v>
      </c>
      <c r="AF28" s="21">
        <f>ROUND(IF(AO28="0",BH28,0),2)</f>
        <v>0</v>
      </c>
      <c r="AG28" s="12" t="s">
        <v>3</v>
      </c>
      <c r="AH28" s="21">
        <f>IF(AL28=0,J28,0)</f>
        <v>0</v>
      </c>
      <c r="AI28" s="21">
        <f>IF(AL28=12,J28,0)</f>
        <v>0</v>
      </c>
      <c r="AJ28" s="21">
        <f>IF(AL28=21,J28,0)</f>
        <v>0</v>
      </c>
      <c r="AL28" s="21">
        <v>21</v>
      </c>
      <c r="AM28" s="21">
        <f>G28*1</f>
        <v>0</v>
      </c>
      <c r="AN28" s="21">
        <f>G28*(1-1)</f>
        <v>0</v>
      </c>
      <c r="AO28" s="23" t="s">
        <v>80</v>
      </c>
      <c r="AT28" s="21">
        <f>ROUND(AU28+AV28,2)</f>
        <v>0</v>
      </c>
      <c r="AU28" s="21">
        <f>ROUND(F28*AM28,2)</f>
        <v>0</v>
      </c>
      <c r="AV28" s="21">
        <f>ROUND(F28*AN28,2)</f>
        <v>0</v>
      </c>
      <c r="AW28" s="23" t="s">
        <v>121</v>
      </c>
      <c r="AX28" s="23" t="s">
        <v>82</v>
      </c>
      <c r="AY28" s="12" t="s">
        <v>83</v>
      </c>
      <c r="BA28" s="21">
        <f>AU28+AV28</f>
        <v>0</v>
      </c>
      <c r="BB28" s="21">
        <f>G28/(100-BC28)*100</f>
        <v>0</v>
      </c>
      <c r="BC28" s="21">
        <v>0</v>
      </c>
      <c r="BD28" s="21">
        <f>M28</f>
        <v>1.4E-2</v>
      </c>
      <c r="BF28" s="21">
        <f>F28*AM28</f>
        <v>0</v>
      </c>
      <c r="BG28" s="21">
        <f>F28*AN28</f>
        <v>0</v>
      </c>
      <c r="BH28" s="21">
        <f>F28*G28</f>
        <v>0</v>
      </c>
      <c r="BI28" s="23" t="s">
        <v>131</v>
      </c>
      <c r="BJ28" s="21">
        <v>725</v>
      </c>
      <c r="BU28" s="21" t="e">
        <f>#REF!</f>
        <v>#REF!</v>
      </c>
      <c r="BV28" s="1" t="s">
        <v>130</v>
      </c>
    </row>
    <row r="29" spans="1:74" ht="15.75" customHeight="1" x14ac:dyDescent="0.25">
      <c r="A29" s="84"/>
      <c r="B29" s="144"/>
      <c r="C29" s="145" t="s">
        <v>132</v>
      </c>
      <c r="D29" s="147" t="s">
        <v>133</v>
      </c>
      <c r="E29" s="147"/>
      <c r="F29" s="147"/>
      <c r="G29" s="168"/>
      <c r="H29" s="147"/>
      <c r="I29" s="147"/>
      <c r="J29" s="148"/>
      <c r="K29" s="149"/>
      <c r="L29" s="29"/>
      <c r="M29" s="29"/>
      <c r="N29" s="30"/>
      <c r="BV29" t="s">
        <v>133</v>
      </c>
    </row>
    <row r="30" spans="1:74" x14ac:dyDescent="0.25">
      <c r="A30" s="84"/>
      <c r="B30" s="135">
        <v>16</v>
      </c>
      <c r="C30" s="85" t="s">
        <v>134</v>
      </c>
      <c r="D30" s="136" t="s">
        <v>135</v>
      </c>
      <c r="E30" s="85" t="s">
        <v>120</v>
      </c>
      <c r="F30" s="137">
        <v>1</v>
      </c>
      <c r="G30" s="166">
        <v>0</v>
      </c>
      <c r="H30" s="137">
        <f t="shared" ref="H30:H41" si="24">ROUND(F30*AM30,2)</f>
        <v>0</v>
      </c>
      <c r="I30" s="137">
        <f t="shared" ref="I30:I41" si="25">ROUND(F30*AN30,2)</f>
        <v>0</v>
      </c>
      <c r="J30" s="138">
        <f t="shared" ref="J30:J41" si="26">ROUND(F30*G30,2)</f>
        <v>0</v>
      </c>
      <c r="K30" s="139"/>
      <c r="L30" s="21">
        <v>8.7000000000000001E-4</v>
      </c>
      <c r="M30" s="21">
        <f t="shared" ref="M30:M41" si="27">F30*L30</f>
        <v>8.7000000000000001E-4</v>
      </c>
      <c r="N30" s="22" t="s">
        <v>79</v>
      </c>
      <c r="X30" s="21">
        <f>ROUND(IF(AO30="5",BH30,0),2)</f>
        <v>0</v>
      </c>
      <c r="Z30" s="21">
        <f>ROUND(IF(AO30="1",BF30,0),2)</f>
        <v>0</v>
      </c>
      <c r="AA30" s="21">
        <f>ROUND(IF(AO30="1",BG30,0),2)</f>
        <v>0</v>
      </c>
      <c r="AB30" s="21">
        <f>ROUND(IF(AO30="7",BF30,0),2)</f>
        <v>0</v>
      </c>
      <c r="AC30" s="21">
        <f>ROUND(IF(AO30="7",BG30,0),2)</f>
        <v>0</v>
      </c>
      <c r="AD30" s="21">
        <f>ROUND(IF(AO30="2",BF30,0),2)</f>
        <v>0</v>
      </c>
      <c r="AE30" s="21">
        <f>ROUND(IF(AO30="2",BG30,0),2)</f>
        <v>0</v>
      </c>
      <c r="AF30" s="21">
        <f>ROUND(IF(AO30="0",BH30,0),2)</f>
        <v>0</v>
      </c>
      <c r="AG30" s="12" t="s">
        <v>3</v>
      </c>
      <c r="AH30" s="21">
        <f t="shared" ref="AH30:AH41" si="28">IF(AL30=0,J30,0)</f>
        <v>0</v>
      </c>
      <c r="AI30" s="21">
        <f t="shared" ref="AI30:AI41" si="29">IF(AL30=12,J30,0)</f>
        <v>0</v>
      </c>
      <c r="AJ30" s="21">
        <f t="shared" ref="AJ30:AJ41" si="30">IF(AL30=21,J30,0)</f>
        <v>0</v>
      </c>
      <c r="AL30" s="21">
        <v>21</v>
      </c>
      <c r="AM30" s="21">
        <f>G30*0.201205273</f>
        <v>0</v>
      </c>
      <c r="AN30" s="21">
        <f>G30*(1-0.201205273)</f>
        <v>0</v>
      </c>
      <c r="AO30" s="23" t="s">
        <v>80</v>
      </c>
      <c r="AT30" s="21">
        <f>ROUND(AU30+AV30,2)</f>
        <v>0</v>
      </c>
      <c r="AU30" s="21">
        <f t="shared" ref="AU30:AU41" si="31">ROUND(F30*AM30,2)</f>
        <v>0</v>
      </c>
      <c r="AV30" s="21">
        <f t="shared" ref="AV30:AV41" si="32">ROUND(F30*AN30,2)</f>
        <v>0</v>
      </c>
      <c r="AW30" s="23" t="s">
        <v>121</v>
      </c>
      <c r="AX30" s="23" t="s">
        <v>82</v>
      </c>
      <c r="AY30" s="12" t="s">
        <v>83</v>
      </c>
      <c r="BA30" s="21">
        <f>AU30+AV30</f>
        <v>0</v>
      </c>
      <c r="BB30" s="21">
        <f t="shared" ref="BB30:BB41" si="33">G30/(100-BC30)*100</f>
        <v>0</v>
      </c>
      <c r="BC30" s="21">
        <v>0</v>
      </c>
      <c r="BD30" s="21">
        <f>M30</f>
        <v>8.7000000000000001E-4</v>
      </c>
      <c r="BF30" s="21">
        <f t="shared" ref="BF30:BF41" si="34">F30*AM30</f>
        <v>0</v>
      </c>
      <c r="BG30" s="21">
        <f t="shared" ref="BG30:BG41" si="35">F30*AN30</f>
        <v>0</v>
      </c>
      <c r="BH30" s="21">
        <f t="shared" ref="BH30:BH41" si="36">F30*G30</f>
        <v>0</v>
      </c>
      <c r="BI30" s="23" t="s">
        <v>84</v>
      </c>
      <c r="BJ30" s="21">
        <v>725</v>
      </c>
      <c r="BU30" s="21" t="e">
        <f>#REF!</f>
        <v>#REF!</v>
      </c>
      <c r="BV30" s="1" t="s">
        <v>135</v>
      </c>
    </row>
    <row r="31" spans="1:74" ht="15" customHeight="1" x14ac:dyDescent="0.25">
      <c r="A31" s="84"/>
      <c r="B31" s="135">
        <v>17</v>
      </c>
      <c r="C31" s="85" t="s">
        <v>136</v>
      </c>
      <c r="D31" s="136" t="s">
        <v>368</v>
      </c>
      <c r="E31" s="85" t="s">
        <v>120</v>
      </c>
      <c r="F31" s="137">
        <v>1</v>
      </c>
      <c r="G31" s="166">
        <v>0</v>
      </c>
      <c r="H31" s="137">
        <f t="shared" si="24"/>
        <v>0</v>
      </c>
      <c r="I31" s="137">
        <f t="shared" si="25"/>
        <v>0</v>
      </c>
      <c r="J31" s="138">
        <f t="shared" si="26"/>
        <v>0</v>
      </c>
      <c r="K31" s="139"/>
      <c r="L31" s="21">
        <v>1.8000000000000001E-4</v>
      </c>
      <c r="M31" s="21">
        <f t="shared" si="27"/>
        <v>1.8000000000000001E-4</v>
      </c>
      <c r="N31" s="22" t="s">
        <v>3</v>
      </c>
      <c r="X31" s="21">
        <f t="shared" ref="X31:X41" si="37">ROUND(IF(AO31="5",BH31,0),2)</f>
        <v>0</v>
      </c>
      <c r="Z31" s="21">
        <f t="shared" ref="Z31:Z41" si="38">ROUND(IF(AO31="1",BF31,0),2)</f>
        <v>0</v>
      </c>
      <c r="AA31" s="21">
        <f t="shared" ref="AA31:AA41" si="39">ROUND(IF(AO31="1",BG31,0),2)</f>
        <v>0</v>
      </c>
      <c r="AB31" s="21">
        <f t="shared" ref="AB31:AB41" si="40">ROUND(IF(AO31="7",BF31,0),2)</f>
        <v>0</v>
      </c>
      <c r="AC31" s="21">
        <f t="shared" ref="AC31:AC41" si="41">ROUND(IF(AO31="7",BG31,0),2)</f>
        <v>0</v>
      </c>
      <c r="AD31" s="21">
        <f t="shared" ref="AD31:AD41" si="42">ROUND(IF(AO31="2",BF31,0),2)</f>
        <v>0</v>
      </c>
      <c r="AE31" s="21">
        <f t="shared" ref="AE31:AE41" si="43">ROUND(IF(AO31="2",BG31,0),2)</f>
        <v>0</v>
      </c>
      <c r="AF31" s="21">
        <f t="shared" ref="AF31:AF41" si="44">ROUND(IF(AO31="0",BH31,0),2)</f>
        <v>0</v>
      </c>
      <c r="AG31" s="12" t="s">
        <v>3</v>
      </c>
      <c r="AH31" s="21">
        <f t="shared" si="28"/>
        <v>0</v>
      </c>
      <c r="AI31" s="21">
        <f t="shared" si="29"/>
        <v>0</v>
      </c>
      <c r="AJ31" s="21">
        <f t="shared" si="30"/>
        <v>0</v>
      </c>
      <c r="AL31" s="21">
        <v>21</v>
      </c>
      <c r="AM31" s="21">
        <f>G31*0.299786287</f>
        <v>0</v>
      </c>
      <c r="AN31" s="21">
        <f>G31*(1-0.299786287)</f>
        <v>0</v>
      </c>
      <c r="AO31" s="23" t="s">
        <v>80</v>
      </c>
      <c r="AT31" s="21">
        <f t="shared" ref="AT31:AT41" si="45">ROUND(AU31+AV31,2)</f>
        <v>0</v>
      </c>
      <c r="AU31" s="21">
        <f t="shared" si="31"/>
        <v>0</v>
      </c>
      <c r="AV31" s="21">
        <f t="shared" si="32"/>
        <v>0</v>
      </c>
      <c r="AW31" s="23" t="s">
        <v>121</v>
      </c>
      <c r="AX31" s="23" t="s">
        <v>82</v>
      </c>
      <c r="AY31" s="12" t="s">
        <v>83</v>
      </c>
      <c r="BA31" s="21">
        <f t="shared" ref="BA31:BA41" si="46">AU31+AV31</f>
        <v>0</v>
      </c>
      <c r="BB31" s="21">
        <f t="shared" si="33"/>
        <v>0</v>
      </c>
      <c r="BC31" s="21">
        <v>0</v>
      </c>
      <c r="BD31" s="21">
        <f t="shared" ref="BD31:BD41" si="47">M31</f>
        <v>1.8000000000000001E-4</v>
      </c>
      <c r="BF31" s="21">
        <f t="shared" si="34"/>
        <v>0</v>
      </c>
      <c r="BG31" s="21">
        <f t="shared" si="35"/>
        <v>0</v>
      </c>
      <c r="BH31" s="21">
        <f t="shared" si="36"/>
        <v>0</v>
      </c>
      <c r="BI31" s="23" t="s">
        <v>84</v>
      </c>
      <c r="BJ31" s="21">
        <v>725</v>
      </c>
      <c r="BU31" s="21" t="e">
        <f>#REF!</f>
        <v>#REF!</v>
      </c>
      <c r="BV31" s="1" t="s">
        <v>137</v>
      </c>
    </row>
    <row r="32" spans="1:74" ht="15" customHeight="1" x14ac:dyDescent="0.25">
      <c r="A32" s="84"/>
      <c r="B32" s="135">
        <v>18</v>
      </c>
      <c r="C32" s="85" t="s">
        <v>138</v>
      </c>
      <c r="D32" s="136" t="s">
        <v>139</v>
      </c>
      <c r="E32" s="85" t="s">
        <v>120</v>
      </c>
      <c r="F32" s="137">
        <v>6</v>
      </c>
      <c r="G32" s="166">
        <v>0</v>
      </c>
      <c r="H32" s="137">
        <f t="shared" si="24"/>
        <v>0</v>
      </c>
      <c r="I32" s="137">
        <f t="shared" si="25"/>
        <v>0</v>
      </c>
      <c r="J32" s="138">
        <f t="shared" si="26"/>
        <v>0</v>
      </c>
      <c r="K32" s="139"/>
      <c r="L32" s="21">
        <v>2.4000000000000001E-4</v>
      </c>
      <c r="M32" s="21">
        <f t="shared" si="27"/>
        <v>1.4400000000000001E-3</v>
      </c>
      <c r="N32" s="22" t="s">
        <v>79</v>
      </c>
      <c r="X32" s="21">
        <f t="shared" si="37"/>
        <v>0</v>
      </c>
      <c r="Z32" s="21">
        <f t="shared" si="38"/>
        <v>0</v>
      </c>
      <c r="AA32" s="21">
        <f t="shared" si="39"/>
        <v>0</v>
      </c>
      <c r="AB32" s="21">
        <f t="shared" si="40"/>
        <v>0</v>
      </c>
      <c r="AC32" s="21">
        <f t="shared" si="41"/>
        <v>0</v>
      </c>
      <c r="AD32" s="21">
        <f t="shared" si="42"/>
        <v>0</v>
      </c>
      <c r="AE32" s="21">
        <f t="shared" si="43"/>
        <v>0</v>
      </c>
      <c r="AF32" s="21">
        <f t="shared" si="44"/>
        <v>0</v>
      </c>
      <c r="AG32" s="12" t="s">
        <v>3</v>
      </c>
      <c r="AH32" s="21">
        <f t="shared" si="28"/>
        <v>0</v>
      </c>
      <c r="AI32" s="21">
        <f t="shared" si="29"/>
        <v>0</v>
      </c>
      <c r="AJ32" s="21">
        <f t="shared" si="30"/>
        <v>0</v>
      </c>
      <c r="AL32" s="21">
        <v>21</v>
      </c>
      <c r="AM32" s="21">
        <f>G32*0.762731261</f>
        <v>0</v>
      </c>
      <c r="AN32" s="21">
        <f>G32*(1-0.762731261)</f>
        <v>0</v>
      </c>
      <c r="AO32" s="23" t="s">
        <v>80</v>
      </c>
      <c r="AT32" s="21">
        <f t="shared" si="45"/>
        <v>0</v>
      </c>
      <c r="AU32" s="21">
        <f t="shared" si="31"/>
        <v>0</v>
      </c>
      <c r="AV32" s="21">
        <f t="shared" si="32"/>
        <v>0</v>
      </c>
      <c r="AW32" s="23" t="s">
        <v>121</v>
      </c>
      <c r="AX32" s="23" t="s">
        <v>82</v>
      </c>
      <c r="AY32" s="12" t="s">
        <v>83</v>
      </c>
      <c r="BA32" s="21">
        <f t="shared" si="46"/>
        <v>0</v>
      </c>
      <c r="BB32" s="21">
        <f t="shared" si="33"/>
        <v>0</v>
      </c>
      <c r="BC32" s="21">
        <v>0</v>
      </c>
      <c r="BD32" s="21">
        <f t="shared" si="47"/>
        <v>1.4400000000000001E-3</v>
      </c>
      <c r="BF32" s="21">
        <f t="shared" si="34"/>
        <v>0</v>
      </c>
      <c r="BG32" s="21">
        <f t="shared" si="35"/>
        <v>0</v>
      </c>
      <c r="BH32" s="21">
        <f t="shared" si="36"/>
        <v>0</v>
      </c>
      <c r="BI32" s="23" t="s">
        <v>84</v>
      </c>
      <c r="BJ32" s="21">
        <v>725</v>
      </c>
      <c r="BU32" s="21" t="e">
        <f>#REF!</f>
        <v>#REF!</v>
      </c>
      <c r="BV32" s="1" t="s">
        <v>139</v>
      </c>
    </row>
    <row r="33" spans="1:74" ht="15" customHeight="1" x14ac:dyDescent="0.25">
      <c r="A33" s="84"/>
      <c r="B33" s="135">
        <v>19</v>
      </c>
      <c r="C33" s="85" t="s">
        <v>140</v>
      </c>
      <c r="D33" s="136" t="s">
        <v>141</v>
      </c>
      <c r="E33" s="85" t="s">
        <v>120</v>
      </c>
      <c r="F33" s="137">
        <v>1</v>
      </c>
      <c r="G33" s="166">
        <v>0</v>
      </c>
      <c r="H33" s="137">
        <f t="shared" si="24"/>
        <v>0</v>
      </c>
      <c r="I33" s="137">
        <f t="shared" si="25"/>
        <v>0</v>
      </c>
      <c r="J33" s="138">
        <f t="shared" si="26"/>
        <v>0</v>
      </c>
      <c r="K33" s="139"/>
      <c r="L33" s="21">
        <v>2.4000000000000001E-4</v>
      </c>
      <c r="M33" s="21">
        <f t="shared" si="27"/>
        <v>2.4000000000000001E-4</v>
      </c>
      <c r="N33" s="22" t="s">
        <v>3</v>
      </c>
      <c r="X33" s="21">
        <f t="shared" si="37"/>
        <v>0</v>
      </c>
      <c r="Z33" s="21">
        <f t="shared" si="38"/>
        <v>0</v>
      </c>
      <c r="AA33" s="21">
        <f t="shared" si="39"/>
        <v>0</v>
      </c>
      <c r="AB33" s="21">
        <f t="shared" si="40"/>
        <v>0</v>
      </c>
      <c r="AC33" s="21">
        <f t="shared" si="41"/>
        <v>0</v>
      </c>
      <c r="AD33" s="21">
        <f t="shared" si="42"/>
        <v>0</v>
      </c>
      <c r="AE33" s="21">
        <f t="shared" si="43"/>
        <v>0</v>
      </c>
      <c r="AF33" s="21">
        <f t="shared" si="44"/>
        <v>0</v>
      </c>
      <c r="AG33" s="12" t="s">
        <v>3</v>
      </c>
      <c r="AH33" s="21">
        <f t="shared" si="28"/>
        <v>0</v>
      </c>
      <c r="AI33" s="21">
        <f t="shared" si="29"/>
        <v>0</v>
      </c>
      <c r="AJ33" s="21">
        <f t="shared" si="30"/>
        <v>0</v>
      </c>
      <c r="AL33" s="21">
        <v>21</v>
      </c>
      <c r="AM33" s="21">
        <f>G33*0.762701525</f>
        <v>0</v>
      </c>
      <c r="AN33" s="21">
        <f>G33*(1-0.762701525)</f>
        <v>0</v>
      </c>
      <c r="AO33" s="23" t="s">
        <v>80</v>
      </c>
      <c r="AT33" s="21">
        <f t="shared" si="45"/>
        <v>0</v>
      </c>
      <c r="AU33" s="21">
        <f t="shared" si="31"/>
        <v>0</v>
      </c>
      <c r="AV33" s="21">
        <f t="shared" si="32"/>
        <v>0</v>
      </c>
      <c r="AW33" s="23" t="s">
        <v>121</v>
      </c>
      <c r="AX33" s="23" t="s">
        <v>82</v>
      </c>
      <c r="AY33" s="12" t="s">
        <v>83</v>
      </c>
      <c r="BA33" s="21">
        <f t="shared" si="46"/>
        <v>0</v>
      </c>
      <c r="BB33" s="21">
        <f t="shared" si="33"/>
        <v>0</v>
      </c>
      <c r="BC33" s="21">
        <v>0</v>
      </c>
      <c r="BD33" s="21">
        <f t="shared" si="47"/>
        <v>2.4000000000000001E-4</v>
      </c>
      <c r="BF33" s="21">
        <f t="shared" si="34"/>
        <v>0</v>
      </c>
      <c r="BG33" s="21">
        <f t="shared" si="35"/>
        <v>0</v>
      </c>
      <c r="BH33" s="21">
        <f t="shared" si="36"/>
        <v>0</v>
      </c>
      <c r="BI33" s="23" t="s">
        <v>84</v>
      </c>
      <c r="BJ33" s="21">
        <v>725</v>
      </c>
      <c r="BU33" s="21" t="e">
        <f>#REF!</f>
        <v>#REF!</v>
      </c>
      <c r="BV33" s="1" t="s">
        <v>141</v>
      </c>
    </row>
    <row r="34" spans="1:74" ht="15" customHeight="1" x14ac:dyDescent="0.25">
      <c r="A34" s="84"/>
      <c r="B34" s="135">
        <v>20</v>
      </c>
      <c r="C34" s="85" t="s">
        <v>142</v>
      </c>
      <c r="D34" s="136" t="s">
        <v>143</v>
      </c>
      <c r="E34" s="85" t="s">
        <v>120</v>
      </c>
      <c r="F34" s="137">
        <v>7</v>
      </c>
      <c r="G34" s="166">
        <v>0</v>
      </c>
      <c r="H34" s="137">
        <f t="shared" si="24"/>
        <v>0</v>
      </c>
      <c r="I34" s="137">
        <f t="shared" si="25"/>
        <v>0</v>
      </c>
      <c r="J34" s="138">
        <f t="shared" si="26"/>
        <v>0</v>
      </c>
      <c r="K34" s="139"/>
      <c r="L34" s="21">
        <v>3.4000000000000002E-4</v>
      </c>
      <c r="M34" s="21">
        <f t="shared" si="27"/>
        <v>2.3800000000000002E-3</v>
      </c>
      <c r="N34" s="22" t="s">
        <v>79</v>
      </c>
      <c r="X34" s="21">
        <f t="shared" si="37"/>
        <v>0</v>
      </c>
      <c r="Z34" s="21">
        <f t="shared" si="38"/>
        <v>0</v>
      </c>
      <c r="AA34" s="21">
        <f t="shared" si="39"/>
        <v>0</v>
      </c>
      <c r="AB34" s="21">
        <f t="shared" si="40"/>
        <v>0</v>
      </c>
      <c r="AC34" s="21">
        <f t="shared" si="41"/>
        <v>0</v>
      </c>
      <c r="AD34" s="21">
        <f t="shared" si="42"/>
        <v>0</v>
      </c>
      <c r="AE34" s="21">
        <f t="shared" si="43"/>
        <v>0</v>
      </c>
      <c r="AF34" s="21">
        <f t="shared" si="44"/>
        <v>0</v>
      </c>
      <c r="AG34" s="12" t="s">
        <v>3</v>
      </c>
      <c r="AH34" s="21">
        <f t="shared" si="28"/>
        <v>0</v>
      </c>
      <c r="AI34" s="21">
        <f t="shared" si="29"/>
        <v>0</v>
      </c>
      <c r="AJ34" s="21">
        <f t="shared" si="30"/>
        <v>0</v>
      </c>
      <c r="AL34" s="21">
        <v>21</v>
      </c>
      <c r="AM34" s="21">
        <f>G34*0.852409281</f>
        <v>0</v>
      </c>
      <c r="AN34" s="21">
        <f>G34*(1-0.852409281)</f>
        <v>0</v>
      </c>
      <c r="AO34" s="23" t="s">
        <v>80</v>
      </c>
      <c r="AT34" s="21">
        <f t="shared" si="45"/>
        <v>0</v>
      </c>
      <c r="AU34" s="21">
        <f t="shared" si="31"/>
        <v>0</v>
      </c>
      <c r="AV34" s="21">
        <f t="shared" si="32"/>
        <v>0</v>
      </c>
      <c r="AW34" s="23" t="s">
        <v>121</v>
      </c>
      <c r="AX34" s="23" t="s">
        <v>82</v>
      </c>
      <c r="AY34" s="12" t="s">
        <v>83</v>
      </c>
      <c r="BA34" s="21">
        <f t="shared" si="46"/>
        <v>0</v>
      </c>
      <c r="BB34" s="21">
        <f t="shared" si="33"/>
        <v>0</v>
      </c>
      <c r="BC34" s="21">
        <v>0</v>
      </c>
      <c r="BD34" s="21">
        <f t="shared" si="47"/>
        <v>2.3800000000000002E-3</v>
      </c>
      <c r="BF34" s="21">
        <f t="shared" si="34"/>
        <v>0</v>
      </c>
      <c r="BG34" s="21">
        <f t="shared" si="35"/>
        <v>0</v>
      </c>
      <c r="BH34" s="21">
        <f t="shared" si="36"/>
        <v>0</v>
      </c>
      <c r="BI34" s="23" t="s">
        <v>84</v>
      </c>
      <c r="BJ34" s="21">
        <v>725</v>
      </c>
      <c r="BU34" s="21" t="e">
        <f>#REF!</f>
        <v>#REF!</v>
      </c>
      <c r="BV34" s="1" t="s">
        <v>143</v>
      </c>
    </row>
    <row r="35" spans="1:74" ht="15" customHeight="1" x14ac:dyDescent="0.25">
      <c r="A35" s="84"/>
      <c r="B35" s="135">
        <v>21</v>
      </c>
      <c r="C35" s="85" t="s">
        <v>144</v>
      </c>
      <c r="D35" s="136" t="s">
        <v>145</v>
      </c>
      <c r="E35" s="85" t="s">
        <v>122</v>
      </c>
      <c r="F35" s="137">
        <v>4</v>
      </c>
      <c r="G35" s="166">
        <v>0</v>
      </c>
      <c r="H35" s="137">
        <f t="shared" si="24"/>
        <v>0</v>
      </c>
      <c r="I35" s="137">
        <f t="shared" si="25"/>
        <v>0</v>
      </c>
      <c r="J35" s="138">
        <f t="shared" si="26"/>
        <v>0</v>
      </c>
      <c r="K35" s="139"/>
      <c r="L35" s="21">
        <v>3.4000000000000002E-4</v>
      </c>
      <c r="M35" s="21">
        <f t="shared" si="27"/>
        <v>1.3600000000000001E-3</v>
      </c>
      <c r="N35" s="22" t="s">
        <v>3</v>
      </c>
      <c r="X35" s="21">
        <f t="shared" si="37"/>
        <v>0</v>
      </c>
      <c r="Z35" s="21">
        <f t="shared" si="38"/>
        <v>0</v>
      </c>
      <c r="AA35" s="21">
        <f t="shared" si="39"/>
        <v>0</v>
      </c>
      <c r="AB35" s="21">
        <f t="shared" si="40"/>
        <v>0</v>
      </c>
      <c r="AC35" s="21">
        <f t="shared" si="41"/>
        <v>0</v>
      </c>
      <c r="AD35" s="21">
        <f t="shared" si="42"/>
        <v>0</v>
      </c>
      <c r="AE35" s="21">
        <f t="shared" si="43"/>
        <v>0</v>
      </c>
      <c r="AF35" s="21">
        <f t="shared" si="44"/>
        <v>0</v>
      </c>
      <c r="AG35" s="12" t="s">
        <v>3</v>
      </c>
      <c r="AH35" s="21">
        <f t="shared" si="28"/>
        <v>0</v>
      </c>
      <c r="AI35" s="21">
        <f t="shared" si="29"/>
        <v>0</v>
      </c>
      <c r="AJ35" s="21">
        <f t="shared" si="30"/>
        <v>0</v>
      </c>
      <c r="AL35" s="21">
        <v>21</v>
      </c>
      <c r="AM35" s="21">
        <f>G35*0.864295693</f>
        <v>0</v>
      </c>
      <c r="AN35" s="21">
        <f>G35*(1-0.864295693)</f>
        <v>0</v>
      </c>
      <c r="AO35" s="23" t="s">
        <v>80</v>
      </c>
      <c r="AT35" s="21">
        <f t="shared" si="45"/>
        <v>0</v>
      </c>
      <c r="AU35" s="21">
        <f t="shared" si="31"/>
        <v>0</v>
      </c>
      <c r="AV35" s="21">
        <f t="shared" si="32"/>
        <v>0</v>
      </c>
      <c r="AW35" s="23" t="s">
        <v>121</v>
      </c>
      <c r="AX35" s="23" t="s">
        <v>82</v>
      </c>
      <c r="AY35" s="12" t="s">
        <v>83</v>
      </c>
      <c r="BA35" s="21">
        <f t="shared" si="46"/>
        <v>0</v>
      </c>
      <c r="BB35" s="21">
        <f t="shared" si="33"/>
        <v>0</v>
      </c>
      <c r="BC35" s="21">
        <v>0</v>
      </c>
      <c r="BD35" s="21">
        <f t="shared" si="47"/>
        <v>1.3600000000000001E-3</v>
      </c>
      <c r="BF35" s="21">
        <f t="shared" si="34"/>
        <v>0</v>
      </c>
      <c r="BG35" s="21">
        <f t="shared" si="35"/>
        <v>0</v>
      </c>
      <c r="BH35" s="21">
        <f t="shared" si="36"/>
        <v>0</v>
      </c>
      <c r="BI35" s="23" t="s">
        <v>84</v>
      </c>
      <c r="BJ35" s="21">
        <v>725</v>
      </c>
      <c r="BU35" s="21" t="e">
        <f>#REF!</f>
        <v>#REF!</v>
      </c>
      <c r="BV35" s="1" t="s">
        <v>145</v>
      </c>
    </row>
    <row r="36" spans="1:74" ht="15" customHeight="1" x14ac:dyDescent="0.25">
      <c r="A36" s="84"/>
      <c r="B36" s="135">
        <v>22</v>
      </c>
      <c r="C36" s="85" t="s">
        <v>146</v>
      </c>
      <c r="D36" s="136" t="s">
        <v>147</v>
      </c>
      <c r="E36" s="85" t="s">
        <v>122</v>
      </c>
      <c r="F36" s="137">
        <v>1</v>
      </c>
      <c r="G36" s="166">
        <v>0</v>
      </c>
      <c r="H36" s="137">
        <f t="shared" si="24"/>
        <v>0</v>
      </c>
      <c r="I36" s="137">
        <f t="shared" si="25"/>
        <v>0</v>
      </c>
      <c r="J36" s="138">
        <f t="shared" si="26"/>
        <v>0</v>
      </c>
      <c r="K36" s="139"/>
      <c r="L36" s="21">
        <v>3.4000000000000002E-4</v>
      </c>
      <c r="M36" s="21">
        <f t="shared" si="27"/>
        <v>3.4000000000000002E-4</v>
      </c>
      <c r="N36" s="22" t="s">
        <v>3</v>
      </c>
      <c r="X36" s="21">
        <f t="shared" si="37"/>
        <v>0</v>
      </c>
      <c r="Z36" s="21">
        <f t="shared" si="38"/>
        <v>0</v>
      </c>
      <c r="AA36" s="21">
        <f t="shared" si="39"/>
        <v>0</v>
      </c>
      <c r="AB36" s="21">
        <f t="shared" si="40"/>
        <v>0</v>
      </c>
      <c r="AC36" s="21">
        <f t="shared" si="41"/>
        <v>0</v>
      </c>
      <c r="AD36" s="21">
        <f t="shared" si="42"/>
        <v>0</v>
      </c>
      <c r="AE36" s="21">
        <f t="shared" si="43"/>
        <v>0</v>
      </c>
      <c r="AF36" s="21">
        <f t="shared" si="44"/>
        <v>0</v>
      </c>
      <c r="AG36" s="12" t="s">
        <v>3</v>
      </c>
      <c r="AH36" s="21">
        <f t="shared" si="28"/>
        <v>0</v>
      </c>
      <c r="AI36" s="21">
        <f t="shared" si="29"/>
        <v>0</v>
      </c>
      <c r="AJ36" s="21">
        <f t="shared" si="30"/>
        <v>0</v>
      </c>
      <c r="AL36" s="21">
        <v>21</v>
      </c>
      <c r="AM36" s="21">
        <f>G36*0.864297277</f>
        <v>0</v>
      </c>
      <c r="AN36" s="21">
        <f>G36*(1-0.864297277)</f>
        <v>0</v>
      </c>
      <c r="AO36" s="23" t="s">
        <v>80</v>
      </c>
      <c r="AT36" s="21">
        <f t="shared" si="45"/>
        <v>0</v>
      </c>
      <c r="AU36" s="21">
        <f t="shared" si="31"/>
        <v>0</v>
      </c>
      <c r="AV36" s="21">
        <f t="shared" si="32"/>
        <v>0</v>
      </c>
      <c r="AW36" s="23" t="s">
        <v>121</v>
      </c>
      <c r="AX36" s="23" t="s">
        <v>82</v>
      </c>
      <c r="AY36" s="12" t="s">
        <v>83</v>
      </c>
      <c r="BA36" s="21">
        <f t="shared" si="46"/>
        <v>0</v>
      </c>
      <c r="BB36" s="21">
        <f t="shared" si="33"/>
        <v>0</v>
      </c>
      <c r="BC36" s="21">
        <v>0</v>
      </c>
      <c r="BD36" s="21">
        <f t="shared" si="47"/>
        <v>3.4000000000000002E-4</v>
      </c>
      <c r="BF36" s="21">
        <f t="shared" si="34"/>
        <v>0</v>
      </c>
      <c r="BG36" s="21">
        <f t="shared" si="35"/>
        <v>0</v>
      </c>
      <c r="BH36" s="21">
        <f t="shared" si="36"/>
        <v>0</v>
      </c>
      <c r="BI36" s="23" t="s">
        <v>84</v>
      </c>
      <c r="BJ36" s="21">
        <v>725</v>
      </c>
      <c r="BU36" s="21" t="e">
        <f>#REF!</f>
        <v>#REF!</v>
      </c>
      <c r="BV36" s="1" t="s">
        <v>147</v>
      </c>
    </row>
    <row r="37" spans="1:74" x14ac:dyDescent="0.25">
      <c r="A37" s="84"/>
      <c r="B37" s="135">
        <v>23</v>
      </c>
      <c r="C37" s="85" t="s">
        <v>148</v>
      </c>
      <c r="D37" s="136" t="s">
        <v>149</v>
      </c>
      <c r="E37" s="85" t="s">
        <v>120</v>
      </c>
      <c r="F37" s="137">
        <v>6</v>
      </c>
      <c r="G37" s="166">
        <v>0</v>
      </c>
      <c r="H37" s="137">
        <f t="shared" si="24"/>
        <v>0</v>
      </c>
      <c r="I37" s="137">
        <f t="shared" si="25"/>
        <v>0</v>
      </c>
      <c r="J37" s="138">
        <f t="shared" si="26"/>
        <v>0</v>
      </c>
      <c r="K37" s="139"/>
      <c r="L37" s="21">
        <v>1.1E-4</v>
      </c>
      <c r="M37" s="21">
        <f t="shared" si="27"/>
        <v>6.6E-4</v>
      </c>
      <c r="N37" s="22" t="s">
        <v>3</v>
      </c>
      <c r="X37" s="21">
        <f t="shared" si="37"/>
        <v>0</v>
      </c>
      <c r="Z37" s="21">
        <f t="shared" si="38"/>
        <v>0</v>
      </c>
      <c r="AA37" s="21">
        <f t="shared" si="39"/>
        <v>0</v>
      </c>
      <c r="AB37" s="21">
        <f t="shared" si="40"/>
        <v>0</v>
      </c>
      <c r="AC37" s="21">
        <f t="shared" si="41"/>
        <v>0</v>
      </c>
      <c r="AD37" s="21">
        <f t="shared" si="42"/>
        <v>0</v>
      </c>
      <c r="AE37" s="21">
        <f t="shared" si="43"/>
        <v>0</v>
      </c>
      <c r="AF37" s="21">
        <f t="shared" si="44"/>
        <v>0</v>
      </c>
      <c r="AG37" s="12" t="s">
        <v>3</v>
      </c>
      <c r="AH37" s="21">
        <f t="shared" si="28"/>
        <v>0</v>
      </c>
      <c r="AI37" s="21">
        <f t="shared" si="29"/>
        <v>0</v>
      </c>
      <c r="AJ37" s="21">
        <f t="shared" si="30"/>
        <v>0</v>
      </c>
      <c r="AL37" s="21">
        <v>21</v>
      </c>
      <c r="AM37" s="21">
        <f>G37*0.384090909</f>
        <v>0</v>
      </c>
      <c r="AN37" s="21">
        <f>G37*(1-0.384090909)</f>
        <v>0</v>
      </c>
      <c r="AO37" s="23" t="s">
        <v>80</v>
      </c>
      <c r="AT37" s="21">
        <f t="shared" si="45"/>
        <v>0</v>
      </c>
      <c r="AU37" s="21">
        <f t="shared" si="31"/>
        <v>0</v>
      </c>
      <c r="AV37" s="21">
        <f t="shared" si="32"/>
        <v>0</v>
      </c>
      <c r="AW37" s="23" t="s">
        <v>121</v>
      </c>
      <c r="AX37" s="23" t="s">
        <v>82</v>
      </c>
      <c r="AY37" s="12" t="s">
        <v>83</v>
      </c>
      <c r="BA37" s="21">
        <f t="shared" si="46"/>
        <v>0</v>
      </c>
      <c r="BB37" s="21">
        <f t="shared" si="33"/>
        <v>0</v>
      </c>
      <c r="BC37" s="21">
        <v>0</v>
      </c>
      <c r="BD37" s="21">
        <f t="shared" si="47"/>
        <v>6.6E-4</v>
      </c>
      <c r="BF37" s="21">
        <f t="shared" si="34"/>
        <v>0</v>
      </c>
      <c r="BG37" s="21">
        <f t="shared" si="35"/>
        <v>0</v>
      </c>
      <c r="BH37" s="21">
        <f t="shared" si="36"/>
        <v>0</v>
      </c>
      <c r="BI37" s="23" t="s">
        <v>84</v>
      </c>
      <c r="BJ37" s="21">
        <v>725</v>
      </c>
      <c r="BU37" s="21" t="e">
        <f>#REF!</f>
        <v>#REF!</v>
      </c>
      <c r="BV37" s="1" t="s">
        <v>149</v>
      </c>
    </row>
    <row r="38" spans="1:74" x14ac:dyDescent="0.25">
      <c r="A38" s="84"/>
      <c r="B38" s="135">
        <v>24</v>
      </c>
      <c r="C38" s="85" t="s">
        <v>150</v>
      </c>
      <c r="D38" s="136" t="s">
        <v>151</v>
      </c>
      <c r="E38" s="85" t="s">
        <v>120</v>
      </c>
      <c r="F38" s="137">
        <v>1</v>
      </c>
      <c r="G38" s="166">
        <v>0</v>
      </c>
      <c r="H38" s="137">
        <f t="shared" si="24"/>
        <v>0</v>
      </c>
      <c r="I38" s="137">
        <f t="shared" si="25"/>
        <v>0</v>
      </c>
      <c r="J38" s="138">
        <f t="shared" si="26"/>
        <v>0</v>
      </c>
      <c r="K38" s="139"/>
      <c r="L38" s="21">
        <v>1.1E-4</v>
      </c>
      <c r="M38" s="21">
        <f t="shared" si="27"/>
        <v>1.1E-4</v>
      </c>
      <c r="N38" s="22" t="s">
        <v>3</v>
      </c>
      <c r="X38" s="21">
        <f t="shared" si="37"/>
        <v>0</v>
      </c>
      <c r="Z38" s="21">
        <f t="shared" si="38"/>
        <v>0</v>
      </c>
      <c r="AA38" s="21">
        <f t="shared" si="39"/>
        <v>0</v>
      </c>
      <c r="AB38" s="21">
        <f t="shared" si="40"/>
        <v>0</v>
      </c>
      <c r="AC38" s="21">
        <f t="shared" si="41"/>
        <v>0</v>
      </c>
      <c r="AD38" s="21">
        <f t="shared" si="42"/>
        <v>0</v>
      </c>
      <c r="AE38" s="21">
        <f t="shared" si="43"/>
        <v>0</v>
      </c>
      <c r="AF38" s="21">
        <f t="shared" si="44"/>
        <v>0</v>
      </c>
      <c r="AG38" s="12" t="s">
        <v>3</v>
      </c>
      <c r="AH38" s="21">
        <f t="shared" si="28"/>
        <v>0</v>
      </c>
      <c r="AI38" s="21">
        <f t="shared" si="29"/>
        <v>0</v>
      </c>
      <c r="AJ38" s="21">
        <f t="shared" si="30"/>
        <v>0</v>
      </c>
      <c r="AL38" s="21">
        <v>21</v>
      </c>
      <c r="AM38" s="21">
        <f>G38*0.384102296</f>
        <v>0</v>
      </c>
      <c r="AN38" s="21">
        <f>G38*(1-0.384102296)</f>
        <v>0</v>
      </c>
      <c r="AO38" s="23" t="s">
        <v>80</v>
      </c>
      <c r="AT38" s="21">
        <f t="shared" si="45"/>
        <v>0</v>
      </c>
      <c r="AU38" s="21">
        <f t="shared" si="31"/>
        <v>0</v>
      </c>
      <c r="AV38" s="21">
        <f t="shared" si="32"/>
        <v>0</v>
      </c>
      <c r="AW38" s="23" t="s">
        <v>121</v>
      </c>
      <c r="AX38" s="23" t="s">
        <v>82</v>
      </c>
      <c r="AY38" s="12" t="s">
        <v>83</v>
      </c>
      <c r="BA38" s="21">
        <f t="shared" si="46"/>
        <v>0</v>
      </c>
      <c r="BB38" s="21">
        <f t="shared" si="33"/>
        <v>0</v>
      </c>
      <c r="BC38" s="21">
        <v>0</v>
      </c>
      <c r="BD38" s="21">
        <f t="shared" si="47"/>
        <v>1.1E-4</v>
      </c>
      <c r="BF38" s="21">
        <f t="shared" si="34"/>
        <v>0</v>
      </c>
      <c r="BG38" s="21">
        <f t="shared" si="35"/>
        <v>0</v>
      </c>
      <c r="BH38" s="21">
        <f t="shared" si="36"/>
        <v>0</v>
      </c>
      <c r="BI38" s="23" t="s">
        <v>84</v>
      </c>
      <c r="BJ38" s="21">
        <v>725</v>
      </c>
      <c r="BU38" s="21" t="e">
        <f>#REF!</f>
        <v>#REF!</v>
      </c>
      <c r="BV38" s="1" t="s">
        <v>151</v>
      </c>
    </row>
    <row r="39" spans="1:74" x14ac:dyDescent="0.25">
      <c r="A39" s="84"/>
      <c r="B39" s="135">
        <v>25</v>
      </c>
      <c r="C39" s="85" t="s">
        <v>152</v>
      </c>
      <c r="D39" s="136" t="s">
        <v>153</v>
      </c>
      <c r="E39" s="85" t="s">
        <v>120</v>
      </c>
      <c r="F39" s="137">
        <v>1</v>
      </c>
      <c r="G39" s="166">
        <v>0</v>
      </c>
      <c r="H39" s="137">
        <f t="shared" si="24"/>
        <v>0</v>
      </c>
      <c r="I39" s="137">
        <f t="shared" si="25"/>
        <v>0</v>
      </c>
      <c r="J39" s="138">
        <f t="shared" si="26"/>
        <v>0</v>
      </c>
      <c r="K39" s="139"/>
      <c r="L39" s="21">
        <v>8.0000000000000007E-5</v>
      </c>
      <c r="M39" s="21">
        <f t="shared" si="27"/>
        <v>8.0000000000000007E-5</v>
      </c>
      <c r="N39" s="22" t="s">
        <v>79</v>
      </c>
      <c r="X39" s="21">
        <f t="shared" si="37"/>
        <v>0</v>
      </c>
      <c r="Z39" s="21">
        <f t="shared" si="38"/>
        <v>0</v>
      </c>
      <c r="AA39" s="21">
        <f t="shared" si="39"/>
        <v>0</v>
      </c>
      <c r="AB39" s="21">
        <f t="shared" si="40"/>
        <v>0</v>
      </c>
      <c r="AC39" s="21">
        <f t="shared" si="41"/>
        <v>0</v>
      </c>
      <c r="AD39" s="21">
        <f t="shared" si="42"/>
        <v>0</v>
      </c>
      <c r="AE39" s="21">
        <f t="shared" si="43"/>
        <v>0</v>
      </c>
      <c r="AF39" s="21">
        <f t="shared" si="44"/>
        <v>0</v>
      </c>
      <c r="AG39" s="12" t="s">
        <v>3</v>
      </c>
      <c r="AH39" s="21">
        <f t="shared" si="28"/>
        <v>0</v>
      </c>
      <c r="AI39" s="21">
        <f t="shared" si="29"/>
        <v>0</v>
      </c>
      <c r="AJ39" s="21">
        <f t="shared" si="30"/>
        <v>0</v>
      </c>
      <c r="AL39" s="21">
        <v>21</v>
      </c>
      <c r="AM39" s="21">
        <f>G39*0.305617978</f>
        <v>0</v>
      </c>
      <c r="AN39" s="21">
        <f>G39*(1-0.305617978)</f>
        <v>0</v>
      </c>
      <c r="AO39" s="23" t="s">
        <v>80</v>
      </c>
      <c r="AT39" s="21">
        <f t="shared" si="45"/>
        <v>0</v>
      </c>
      <c r="AU39" s="21">
        <f t="shared" si="31"/>
        <v>0</v>
      </c>
      <c r="AV39" s="21">
        <f t="shared" si="32"/>
        <v>0</v>
      </c>
      <c r="AW39" s="23" t="s">
        <v>121</v>
      </c>
      <c r="AX39" s="23" t="s">
        <v>82</v>
      </c>
      <c r="AY39" s="12" t="s">
        <v>83</v>
      </c>
      <c r="BA39" s="21">
        <f t="shared" si="46"/>
        <v>0</v>
      </c>
      <c r="BB39" s="21">
        <f t="shared" si="33"/>
        <v>0</v>
      </c>
      <c r="BC39" s="21">
        <v>0</v>
      </c>
      <c r="BD39" s="21">
        <f t="shared" si="47"/>
        <v>8.0000000000000007E-5</v>
      </c>
      <c r="BF39" s="21">
        <f t="shared" si="34"/>
        <v>0</v>
      </c>
      <c r="BG39" s="21">
        <f t="shared" si="35"/>
        <v>0</v>
      </c>
      <c r="BH39" s="21">
        <f t="shared" si="36"/>
        <v>0</v>
      </c>
      <c r="BI39" s="23" t="s">
        <v>84</v>
      </c>
      <c r="BJ39" s="21">
        <v>725</v>
      </c>
      <c r="BU39" s="21" t="e">
        <f>#REF!</f>
        <v>#REF!</v>
      </c>
      <c r="BV39" s="1" t="s">
        <v>153</v>
      </c>
    </row>
    <row r="40" spans="1:74" x14ac:dyDescent="0.25">
      <c r="A40" s="84"/>
      <c r="B40" s="135">
        <v>26</v>
      </c>
      <c r="C40" s="85" t="s">
        <v>154</v>
      </c>
      <c r="D40" s="136" t="s">
        <v>155</v>
      </c>
      <c r="E40" s="85" t="s">
        <v>120</v>
      </c>
      <c r="F40" s="137">
        <v>11</v>
      </c>
      <c r="G40" s="166">
        <v>0</v>
      </c>
      <c r="H40" s="137">
        <f t="shared" si="24"/>
        <v>0</v>
      </c>
      <c r="I40" s="137">
        <f t="shared" si="25"/>
        <v>0</v>
      </c>
      <c r="J40" s="138">
        <f t="shared" si="26"/>
        <v>0</v>
      </c>
      <c r="K40" s="139"/>
      <c r="L40" s="21">
        <v>1.1E-4</v>
      </c>
      <c r="M40" s="21">
        <f t="shared" si="27"/>
        <v>1.2100000000000001E-3</v>
      </c>
      <c r="N40" s="22" t="s">
        <v>79</v>
      </c>
      <c r="X40" s="21">
        <f t="shared" si="37"/>
        <v>0</v>
      </c>
      <c r="Z40" s="21">
        <f t="shared" si="38"/>
        <v>0</v>
      </c>
      <c r="AA40" s="21">
        <f t="shared" si="39"/>
        <v>0</v>
      </c>
      <c r="AB40" s="21">
        <f t="shared" si="40"/>
        <v>0</v>
      </c>
      <c r="AC40" s="21">
        <f t="shared" si="41"/>
        <v>0</v>
      </c>
      <c r="AD40" s="21">
        <f t="shared" si="42"/>
        <v>0</v>
      </c>
      <c r="AE40" s="21">
        <f t="shared" si="43"/>
        <v>0</v>
      </c>
      <c r="AF40" s="21">
        <f t="shared" si="44"/>
        <v>0</v>
      </c>
      <c r="AG40" s="12" t="s">
        <v>3</v>
      </c>
      <c r="AH40" s="21">
        <f t="shared" si="28"/>
        <v>0</v>
      </c>
      <c r="AI40" s="21">
        <f t="shared" si="29"/>
        <v>0</v>
      </c>
      <c r="AJ40" s="21">
        <f t="shared" si="30"/>
        <v>0</v>
      </c>
      <c r="AL40" s="21">
        <v>21</v>
      </c>
      <c r="AM40" s="21">
        <f>G40*0.360954128</f>
        <v>0</v>
      </c>
      <c r="AN40" s="21">
        <f>G40*(1-0.360954128)</f>
        <v>0</v>
      </c>
      <c r="AO40" s="23" t="s">
        <v>80</v>
      </c>
      <c r="AT40" s="21">
        <f t="shared" si="45"/>
        <v>0</v>
      </c>
      <c r="AU40" s="21">
        <f t="shared" si="31"/>
        <v>0</v>
      </c>
      <c r="AV40" s="21">
        <f t="shared" si="32"/>
        <v>0</v>
      </c>
      <c r="AW40" s="23" t="s">
        <v>121</v>
      </c>
      <c r="AX40" s="23" t="s">
        <v>82</v>
      </c>
      <c r="AY40" s="12" t="s">
        <v>83</v>
      </c>
      <c r="BA40" s="21">
        <f t="shared" si="46"/>
        <v>0</v>
      </c>
      <c r="BB40" s="21">
        <f t="shared" si="33"/>
        <v>0</v>
      </c>
      <c r="BC40" s="21">
        <v>0</v>
      </c>
      <c r="BD40" s="21">
        <f t="shared" si="47"/>
        <v>1.2100000000000001E-3</v>
      </c>
      <c r="BF40" s="21">
        <f t="shared" si="34"/>
        <v>0</v>
      </c>
      <c r="BG40" s="21">
        <f t="shared" si="35"/>
        <v>0</v>
      </c>
      <c r="BH40" s="21">
        <f t="shared" si="36"/>
        <v>0</v>
      </c>
      <c r="BI40" s="23" t="s">
        <v>84</v>
      </c>
      <c r="BJ40" s="21">
        <v>725</v>
      </c>
      <c r="BU40" s="21" t="e">
        <f>#REF!</f>
        <v>#REF!</v>
      </c>
      <c r="BV40" s="1" t="s">
        <v>155</v>
      </c>
    </row>
    <row r="41" spans="1:74" ht="15" customHeight="1" x14ac:dyDescent="0.25">
      <c r="A41" s="84"/>
      <c r="B41" s="135">
        <v>27</v>
      </c>
      <c r="C41" s="85" t="s">
        <v>156</v>
      </c>
      <c r="D41" s="136" t="s">
        <v>157</v>
      </c>
      <c r="E41" s="85" t="s">
        <v>118</v>
      </c>
      <c r="F41" s="137">
        <v>2.59</v>
      </c>
      <c r="G41" s="166">
        <v>0</v>
      </c>
      <c r="H41" s="137">
        <f t="shared" si="24"/>
        <v>0</v>
      </c>
      <c r="I41" s="137">
        <f t="shared" si="25"/>
        <v>0</v>
      </c>
      <c r="J41" s="138">
        <f t="shared" si="26"/>
        <v>0</v>
      </c>
      <c r="K41" s="139"/>
      <c r="L41" s="21">
        <v>0</v>
      </c>
      <c r="M41" s="21">
        <f t="shared" si="27"/>
        <v>0</v>
      </c>
      <c r="N41" s="22" t="s">
        <v>79</v>
      </c>
      <c r="X41" s="21">
        <f t="shared" si="37"/>
        <v>0</v>
      </c>
      <c r="Z41" s="21">
        <f t="shared" si="38"/>
        <v>0</v>
      </c>
      <c r="AA41" s="21">
        <f t="shared" si="39"/>
        <v>0</v>
      </c>
      <c r="AB41" s="21">
        <f t="shared" si="40"/>
        <v>0</v>
      </c>
      <c r="AC41" s="21">
        <f t="shared" si="41"/>
        <v>0</v>
      </c>
      <c r="AD41" s="21">
        <f t="shared" si="42"/>
        <v>0</v>
      </c>
      <c r="AE41" s="21">
        <f t="shared" si="43"/>
        <v>0</v>
      </c>
      <c r="AF41" s="21">
        <f t="shared" si="44"/>
        <v>0</v>
      </c>
      <c r="AG41" s="12" t="s">
        <v>3</v>
      </c>
      <c r="AH41" s="21">
        <f t="shared" si="28"/>
        <v>0</v>
      </c>
      <c r="AI41" s="21">
        <f t="shared" si="29"/>
        <v>0</v>
      </c>
      <c r="AJ41" s="21">
        <f t="shared" si="30"/>
        <v>0</v>
      </c>
      <c r="AL41" s="21">
        <v>21</v>
      </c>
      <c r="AM41" s="21">
        <f>G41*0</f>
        <v>0</v>
      </c>
      <c r="AN41" s="21">
        <f>G41*(1-0)</f>
        <v>0</v>
      </c>
      <c r="AO41" s="23" t="s">
        <v>94</v>
      </c>
      <c r="AT41" s="21">
        <f t="shared" si="45"/>
        <v>0</v>
      </c>
      <c r="AU41" s="21">
        <f t="shared" si="31"/>
        <v>0</v>
      </c>
      <c r="AV41" s="21">
        <f t="shared" si="32"/>
        <v>0</v>
      </c>
      <c r="AW41" s="23" t="s">
        <v>121</v>
      </c>
      <c r="AX41" s="23" t="s">
        <v>82</v>
      </c>
      <c r="AY41" s="12" t="s">
        <v>83</v>
      </c>
      <c r="BA41" s="21">
        <f t="shared" si="46"/>
        <v>0</v>
      </c>
      <c r="BB41" s="21">
        <f t="shared" si="33"/>
        <v>0</v>
      </c>
      <c r="BC41" s="21">
        <v>0</v>
      </c>
      <c r="BD41" s="21">
        <f t="shared" si="47"/>
        <v>0</v>
      </c>
      <c r="BF41" s="21">
        <f t="shared" si="34"/>
        <v>0</v>
      </c>
      <c r="BG41" s="21">
        <f t="shared" si="35"/>
        <v>0</v>
      </c>
      <c r="BH41" s="21">
        <f t="shared" si="36"/>
        <v>0</v>
      </c>
      <c r="BI41" s="23" t="s">
        <v>84</v>
      </c>
      <c r="BJ41" s="21">
        <v>725</v>
      </c>
      <c r="BU41" s="21" t="e">
        <f>#REF!</f>
        <v>#REF!</v>
      </c>
      <c r="BV41" s="1" t="s">
        <v>157</v>
      </c>
    </row>
    <row r="42" spans="1:74" x14ac:dyDescent="0.25">
      <c r="A42" s="84"/>
      <c r="B42" s="140" t="s">
        <v>3</v>
      </c>
      <c r="C42" s="121" t="s">
        <v>158</v>
      </c>
      <c r="D42" s="122" t="s">
        <v>159</v>
      </c>
      <c r="E42" s="120" t="s">
        <v>41</v>
      </c>
      <c r="F42" s="120" t="s">
        <v>41</v>
      </c>
      <c r="G42" s="167" t="s">
        <v>41</v>
      </c>
      <c r="H42" s="123">
        <f>SUM(H43:H46)</f>
        <v>0</v>
      </c>
      <c r="I42" s="123">
        <f>SUM(I43:I46)</f>
        <v>0</v>
      </c>
      <c r="J42" s="141">
        <f>SUM(J43:J46)</f>
        <v>0</v>
      </c>
      <c r="K42" s="124"/>
      <c r="L42" s="12" t="s">
        <v>3</v>
      </c>
      <c r="M42" s="10">
        <f>SUM(M43:M46)</f>
        <v>8.4000000000000003E-4</v>
      </c>
      <c r="N42" s="20" t="s">
        <v>3</v>
      </c>
      <c r="AG42" s="12" t="s">
        <v>3</v>
      </c>
      <c r="AQ42" s="10">
        <f>SUM(AH43:AH46)</f>
        <v>0</v>
      </c>
      <c r="AR42" s="10">
        <f>SUM(AI43:AI46)</f>
        <v>0</v>
      </c>
      <c r="AS42" s="10">
        <f>SUM(AJ43:AJ46)</f>
        <v>0</v>
      </c>
    </row>
    <row r="43" spans="1:74" x14ac:dyDescent="0.25">
      <c r="A43" s="84"/>
      <c r="B43" s="135">
        <v>28</v>
      </c>
      <c r="C43" s="85" t="s">
        <v>160</v>
      </c>
      <c r="D43" s="136" t="s">
        <v>161</v>
      </c>
      <c r="E43" s="85" t="s">
        <v>122</v>
      </c>
      <c r="F43" s="137">
        <v>1</v>
      </c>
      <c r="G43" s="166">
        <v>0</v>
      </c>
      <c r="H43" s="137">
        <f>ROUND(F43*AM43,2)</f>
        <v>0</v>
      </c>
      <c r="I43" s="137">
        <f>ROUND(F43*AN43,2)</f>
        <v>0</v>
      </c>
      <c r="J43" s="138">
        <f>ROUND(F43*G43,2)</f>
        <v>0</v>
      </c>
      <c r="K43" s="139"/>
      <c r="L43" s="21">
        <v>3.2000000000000003E-4</v>
      </c>
      <c r="M43" s="21">
        <f>F43*L43</f>
        <v>3.2000000000000003E-4</v>
      </c>
      <c r="N43" s="22" t="s">
        <v>79</v>
      </c>
      <c r="X43" s="21">
        <f>ROUND(IF(AO43="5",BH43,0),2)</f>
        <v>0</v>
      </c>
      <c r="Z43" s="21">
        <f>ROUND(IF(AO43="1",BF43,0),2)</f>
        <v>0</v>
      </c>
      <c r="AA43" s="21">
        <f>ROUND(IF(AO43="1",BG43,0),2)</f>
        <v>0</v>
      </c>
      <c r="AB43" s="21">
        <f>ROUND(IF(AO43="7",BF43,0),2)</f>
        <v>0</v>
      </c>
      <c r="AC43" s="21">
        <f>ROUND(IF(AO43="7",BG43,0),2)</f>
        <v>0</v>
      </c>
      <c r="AD43" s="21">
        <f>ROUND(IF(AO43="2",BF43,0),2)</f>
        <v>0</v>
      </c>
      <c r="AE43" s="21">
        <f>ROUND(IF(AO43="2",BG43,0),2)</f>
        <v>0</v>
      </c>
      <c r="AF43" s="21">
        <f>ROUND(IF(AO43="0",BH43,0),2)</f>
        <v>0</v>
      </c>
      <c r="AG43" s="12" t="s">
        <v>3</v>
      </c>
      <c r="AH43" s="21">
        <f>IF(AL43=0,J43,0)</f>
        <v>0</v>
      </c>
      <c r="AI43" s="21">
        <f>IF(AL43=12,J43,0)</f>
        <v>0</v>
      </c>
      <c r="AJ43" s="21">
        <f>IF(AL43=21,J43,0)</f>
        <v>0</v>
      </c>
      <c r="AL43" s="21">
        <v>21</v>
      </c>
      <c r="AM43" s="21">
        <f>G43*0.689278752</f>
        <v>0</v>
      </c>
      <c r="AN43" s="21">
        <f>G43*(1-0.689278752)</f>
        <v>0</v>
      </c>
      <c r="AO43" s="23" t="s">
        <v>80</v>
      </c>
      <c r="AT43" s="21">
        <f>ROUND(AU43+AV43,2)</f>
        <v>0</v>
      </c>
      <c r="AU43" s="21">
        <f>ROUND(F43*AM43,2)</f>
        <v>0</v>
      </c>
      <c r="AV43" s="21">
        <f>ROUND(F43*AN43,2)</f>
        <v>0</v>
      </c>
      <c r="AW43" s="23" t="s">
        <v>162</v>
      </c>
      <c r="AX43" s="23" t="s">
        <v>82</v>
      </c>
      <c r="AY43" s="12" t="s">
        <v>83</v>
      </c>
      <c r="BA43" s="21">
        <f>AU43+AV43</f>
        <v>0</v>
      </c>
      <c r="BB43" s="21">
        <f>G43/(100-BC43)*100</f>
        <v>0</v>
      </c>
      <c r="BC43" s="21">
        <v>0</v>
      </c>
      <c r="BD43" s="21">
        <f>M43</f>
        <v>3.2000000000000003E-4</v>
      </c>
      <c r="BF43" s="21">
        <f>F43*AM43</f>
        <v>0</v>
      </c>
      <c r="BG43" s="21">
        <f>F43*AN43</f>
        <v>0</v>
      </c>
      <c r="BH43" s="21">
        <f>F43*G43</f>
        <v>0</v>
      </c>
      <c r="BI43" s="23" t="s">
        <v>84</v>
      </c>
      <c r="BJ43" s="21">
        <v>721</v>
      </c>
      <c r="BU43" s="21" t="e">
        <f>#REF!</f>
        <v>#REF!</v>
      </c>
      <c r="BV43" s="1" t="s">
        <v>161</v>
      </c>
    </row>
    <row r="44" spans="1:74" x14ac:dyDescent="0.25">
      <c r="A44" s="84"/>
      <c r="B44" s="135">
        <v>29</v>
      </c>
      <c r="C44" s="85" t="s">
        <v>163</v>
      </c>
      <c r="D44" s="136" t="s">
        <v>164</v>
      </c>
      <c r="E44" s="85" t="s">
        <v>122</v>
      </c>
      <c r="F44" s="137">
        <v>1</v>
      </c>
      <c r="G44" s="166">
        <v>0</v>
      </c>
      <c r="H44" s="137">
        <f>ROUND(F44*AM44,2)</f>
        <v>0</v>
      </c>
      <c r="I44" s="137">
        <f>ROUND(F44*AN44,2)</f>
        <v>0</v>
      </c>
      <c r="J44" s="138">
        <f>ROUND(F44*G44,2)</f>
        <v>0</v>
      </c>
      <c r="K44" s="139"/>
      <c r="L44" s="21">
        <v>5.1999999999999995E-4</v>
      </c>
      <c r="M44" s="21">
        <f>F44*L44</f>
        <v>5.1999999999999995E-4</v>
      </c>
      <c r="N44" s="22" t="s">
        <v>79</v>
      </c>
      <c r="X44" s="21">
        <f>ROUND(IF(AO44="5",BH44,0),2)</f>
        <v>0</v>
      </c>
      <c r="Z44" s="21">
        <f>ROUND(IF(AO44="1",BF44,0),2)</f>
        <v>0</v>
      </c>
      <c r="AA44" s="21">
        <f>ROUND(IF(AO44="1",BG44,0),2)</f>
        <v>0</v>
      </c>
      <c r="AB44" s="21">
        <f>ROUND(IF(AO44="7",BF44,0),2)</f>
        <v>0</v>
      </c>
      <c r="AC44" s="21">
        <f>ROUND(IF(AO44="7",BG44,0),2)</f>
        <v>0</v>
      </c>
      <c r="AD44" s="21">
        <f>ROUND(IF(AO44="2",BF44,0),2)</f>
        <v>0</v>
      </c>
      <c r="AE44" s="21">
        <f>ROUND(IF(AO44="2",BG44,0),2)</f>
        <v>0</v>
      </c>
      <c r="AF44" s="21">
        <f>ROUND(IF(AO44="0",BH44,0),2)</f>
        <v>0</v>
      </c>
      <c r="AG44" s="12" t="s">
        <v>3</v>
      </c>
      <c r="AH44" s="21">
        <f>IF(AL44=0,J44,0)</f>
        <v>0</v>
      </c>
      <c r="AI44" s="21">
        <f>IF(AL44=12,J44,0)</f>
        <v>0</v>
      </c>
      <c r="AJ44" s="21">
        <f>IF(AL44=21,J44,0)</f>
        <v>0</v>
      </c>
      <c r="AL44" s="21">
        <v>21</v>
      </c>
      <c r="AM44" s="21">
        <f>G44*0.747456517</f>
        <v>0</v>
      </c>
      <c r="AN44" s="21">
        <f>G44*(1-0.747456517)</f>
        <v>0</v>
      </c>
      <c r="AO44" s="23" t="s">
        <v>80</v>
      </c>
      <c r="AT44" s="21">
        <f>ROUND(AU44+AV44,2)</f>
        <v>0</v>
      </c>
      <c r="AU44" s="21">
        <f>ROUND(F44*AM44,2)</f>
        <v>0</v>
      </c>
      <c r="AV44" s="21">
        <f>ROUND(F44*AN44,2)</f>
        <v>0</v>
      </c>
      <c r="AW44" s="23" t="s">
        <v>162</v>
      </c>
      <c r="AX44" s="23" t="s">
        <v>82</v>
      </c>
      <c r="AY44" s="12" t="s">
        <v>83</v>
      </c>
      <c r="BA44" s="21">
        <f>AU44+AV44</f>
        <v>0</v>
      </c>
      <c r="BB44" s="21">
        <f>G44/(100-BC44)*100</f>
        <v>0</v>
      </c>
      <c r="BC44" s="21">
        <v>0</v>
      </c>
      <c r="BD44" s="21">
        <f>M44</f>
        <v>5.1999999999999995E-4</v>
      </c>
      <c r="BF44" s="21">
        <f>F44*AM44</f>
        <v>0</v>
      </c>
      <c r="BG44" s="21">
        <f>F44*AN44</f>
        <v>0</v>
      </c>
      <c r="BH44" s="21">
        <f>F44*G44</f>
        <v>0</v>
      </c>
      <c r="BI44" s="23" t="s">
        <v>84</v>
      </c>
      <c r="BJ44" s="21">
        <v>721</v>
      </c>
      <c r="BU44" s="21" t="e">
        <f>#REF!</f>
        <v>#REF!</v>
      </c>
      <c r="BV44" s="1" t="s">
        <v>164</v>
      </c>
    </row>
    <row r="45" spans="1:74" x14ac:dyDescent="0.25">
      <c r="A45" s="84"/>
      <c r="B45" s="135">
        <v>30</v>
      </c>
      <c r="C45" s="85" t="s">
        <v>165</v>
      </c>
      <c r="D45" s="136" t="s">
        <v>166</v>
      </c>
      <c r="E45" s="85" t="s">
        <v>122</v>
      </c>
      <c r="F45" s="137">
        <v>1</v>
      </c>
      <c r="G45" s="166">
        <v>0</v>
      </c>
      <c r="H45" s="137">
        <f>ROUND(F45*AM45,2)</f>
        <v>0</v>
      </c>
      <c r="I45" s="137">
        <f>ROUND(F45*AN45,2)</f>
        <v>0</v>
      </c>
      <c r="J45" s="138">
        <f>ROUND(F45*G45,2)</f>
        <v>0</v>
      </c>
      <c r="K45" s="139"/>
      <c r="L45" s="21">
        <v>0</v>
      </c>
      <c r="M45" s="21">
        <f>F45*L45</f>
        <v>0</v>
      </c>
      <c r="N45" s="22" t="s">
        <v>79</v>
      </c>
      <c r="X45" s="21">
        <f>ROUND(IF(AO45="5",BH45,0),2)</f>
        <v>0</v>
      </c>
      <c r="Z45" s="21">
        <f>ROUND(IF(AO45="1",BF45,0),2)</f>
        <v>0</v>
      </c>
      <c r="AA45" s="21">
        <f>ROUND(IF(AO45="1",BG45,0),2)</f>
        <v>0</v>
      </c>
      <c r="AB45" s="21">
        <f>ROUND(IF(AO45="7",BF45,0),2)</f>
        <v>0</v>
      </c>
      <c r="AC45" s="21">
        <f>ROUND(IF(AO45="7",BG45,0),2)</f>
        <v>0</v>
      </c>
      <c r="AD45" s="21">
        <f>ROUND(IF(AO45="2",BF45,0),2)</f>
        <v>0</v>
      </c>
      <c r="AE45" s="21">
        <f>ROUND(IF(AO45="2",BG45,0),2)</f>
        <v>0</v>
      </c>
      <c r="AF45" s="21">
        <f>ROUND(IF(AO45="0",BH45,0),2)</f>
        <v>0</v>
      </c>
      <c r="AG45" s="12" t="s">
        <v>3</v>
      </c>
      <c r="AH45" s="21">
        <f>IF(AL45=0,J45,0)</f>
        <v>0</v>
      </c>
      <c r="AI45" s="21">
        <f>IF(AL45=12,J45,0)</f>
        <v>0</v>
      </c>
      <c r="AJ45" s="21">
        <f>IF(AL45=21,J45,0)</f>
        <v>0</v>
      </c>
      <c r="AL45" s="21">
        <v>21</v>
      </c>
      <c r="AM45" s="21">
        <f>G45*0.037824279</f>
        <v>0</v>
      </c>
      <c r="AN45" s="21">
        <f>G45*(1-0.037824279)</f>
        <v>0</v>
      </c>
      <c r="AO45" s="23" t="s">
        <v>80</v>
      </c>
      <c r="AT45" s="21">
        <f>ROUND(AU45+AV45,2)</f>
        <v>0</v>
      </c>
      <c r="AU45" s="21">
        <f>ROUND(F45*AM45,2)</f>
        <v>0</v>
      </c>
      <c r="AV45" s="21">
        <f>ROUND(F45*AN45,2)</f>
        <v>0</v>
      </c>
      <c r="AW45" s="23" t="s">
        <v>162</v>
      </c>
      <c r="AX45" s="23" t="s">
        <v>82</v>
      </c>
      <c r="AY45" s="12" t="s">
        <v>83</v>
      </c>
      <c r="BA45" s="21">
        <f>AU45+AV45</f>
        <v>0</v>
      </c>
      <c r="BB45" s="21">
        <f>G45/(100-BC45)*100</f>
        <v>0</v>
      </c>
      <c r="BC45" s="21">
        <v>0</v>
      </c>
      <c r="BD45" s="21">
        <f>M45</f>
        <v>0</v>
      </c>
      <c r="BF45" s="21">
        <f>F45*AM45</f>
        <v>0</v>
      </c>
      <c r="BG45" s="21">
        <f>F45*AN45</f>
        <v>0</v>
      </c>
      <c r="BH45" s="21">
        <f>F45*G45</f>
        <v>0</v>
      </c>
      <c r="BI45" s="23" t="s">
        <v>84</v>
      </c>
      <c r="BJ45" s="21">
        <v>721</v>
      </c>
      <c r="BU45" s="21" t="e">
        <f>#REF!</f>
        <v>#REF!</v>
      </c>
      <c r="BV45" s="1" t="s">
        <v>166</v>
      </c>
    </row>
    <row r="46" spans="1:74" x14ac:dyDescent="0.25">
      <c r="A46" s="84"/>
      <c r="B46" s="135">
        <v>31</v>
      </c>
      <c r="C46" s="85" t="s">
        <v>167</v>
      </c>
      <c r="D46" s="136" t="s">
        <v>168</v>
      </c>
      <c r="E46" s="85" t="s">
        <v>122</v>
      </c>
      <c r="F46" s="137">
        <v>1</v>
      </c>
      <c r="G46" s="166">
        <v>0</v>
      </c>
      <c r="H46" s="137">
        <f>ROUND(F46*AM46,2)</f>
        <v>0</v>
      </c>
      <c r="I46" s="137">
        <f>ROUND(F46*AN46,2)</f>
        <v>0</v>
      </c>
      <c r="J46" s="138">
        <f>ROUND(F46*G46,2)</f>
        <v>0</v>
      </c>
      <c r="K46" s="139"/>
      <c r="L46" s="21">
        <v>0</v>
      </c>
      <c r="M46" s="21">
        <f>F46*L46</f>
        <v>0</v>
      </c>
      <c r="N46" s="22" t="s">
        <v>79</v>
      </c>
      <c r="X46" s="21">
        <f>ROUND(IF(AO46="5",BH46,0),2)</f>
        <v>0</v>
      </c>
      <c r="Z46" s="21">
        <f>ROUND(IF(AO46="1",BF46,0),2)</f>
        <v>0</v>
      </c>
      <c r="AA46" s="21">
        <f>ROUND(IF(AO46="1",BG46,0),2)</f>
        <v>0</v>
      </c>
      <c r="AB46" s="21">
        <f>ROUND(IF(AO46="7",BF46,0),2)</f>
        <v>0</v>
      </c>
      <c r="AC46" s="21">
        <f>ROUND(IF(AO46="7",BG46,0),2)</f>
        <v>0</v>
      </c>
      <c r="AD46" s="21">
        <f>ROUND(IF(AO46="2",BF46,0),2)</f>
        <v>0</v>
      </c>
      <c r="AE46" s="21">
        <f>ROUND(IF(AO46="2",BG46,0),2)</f>
        <v>0</v>
      </c>
      <c r="AF46" s="21">
        <f>ROUND(IF(AO46="0",BH46,0),2)</f>
        <v>0</v>
      </c>
      <c r="AG46" s="12" t="s">
        <v>3</v>
      </c>
      <c r="AH46" s="21">
        <f>IF(AL46=0,J46,0)</f>
        <v>0</v>
      </c>
      <c r="AI46" s="21">
        <f>IF(AL46=12,J46,0)</f>
        <v>0</v>
      </c>
      <c r="AJ46" s="21">
        <f>IF(AL46=21,J46,0)</f>
        <v>0</v>
      </c>
      <c r="AL46" s="21">
        <v>21</v>
      </c>
      <c r="AM46" s="21">
        <f>G46*0.057259714</f>
        <v>0</v>
      </c>
      <c r="AN46" s="21">
        <f>G46*(1-0.057259714)</f>
        <v>0</v>
      </c>
      <c r="AO46" s="23" t="s">
        <v>80</v>
      </c>
      <c r="AT46" s="21">
        <f>ROUND(AU46+AV46,2)</f>
        <v>0</v>
      </c>
      <c r="AU46" s="21">
        <f>ROUND(F46*AM46,2)</f>
        <v>0</v>
      </c>
      <c r="AV46" s="21">
        <f>ROUND(F46*AN46,2)</f>
        <v>0</v>
      </c>
      <c r="AW46" s="23" t="s">
        <v>162</v>
      </c>
      <c r="AX46" s="23" t="s">
        <v>82</v>
      </c>
      <c r="AY46" s="12" t="s">
        <v>83</v>
      </c>
      <c r="BA46" s="21">
        <f>AU46+AV46</f>
        <v>0</v>
      </c>
      <c r="BB46" s="21">
        <f>G46/(100-BC46)*100</f>
        <v>0</v>
      </c>
      <c r="BC46" s="21">
        <v>0</v>
      </c>
      <c r="BD46" s="21">
        <f>M46</f>
        <v>0</v>
      </c>
      <c r="BF46" s="21">
        <f>F46*AM46</f>
        <v>0</v>
      </c>
      <c r="BG46" s="21">
        <f>F46*AN46</f>
        <v>0</v>
      </c>
      <c r="BH46" s="21">
        <f>F46*G46</f>
        <v>0</v>
      </c>
      <c r="BI46" s="23" t="s">
        <v>84</v>
      </c>
      <c r="BJ46" s="21">
        <v>721</v>
      </c>
      <c r="BU46" s="21" t="e">
        <f>#REF!</f>
        <v>#REF!</v>
      </c>
      <c r="BV46" s="1" t="s">
        <v>168</v>
      </c>
    </row>
    <row r="47" spans="1:74" x14ac:dyDescent="0.25">
      <c r="A47" s="84"/>
      <c r="B47" s="140" t="s">
        <v>3</v>
      </c>
      <c r="C47" s="121" t="s">
        <v>169</v>
      </c>
      <c r="D47" s="122" t="s">
        <v>170</v>
      </c>
      <c r="E47" s="120" t="s">
        <v>41</v>
      </c>
      <c r="F47" s="120" t="s">
        <v>41</v>
      </c>
      <c r="G47" s="167" t="s">
        <v>41</v>
      </c>
      <c r="H47" s="123">
        <f>SUM(H48:H58)</f>
        <v>0</v>
      </c>
      <c r="I47" s="123">
        <f>SUM(I48:I58)</f>
        <v>0</v>
      </c>
      <c r="J47" s="141">
        <f>SUM(J48:J58)</f>
        <v>0</v>
      </c>
      <c r="K47" s="124"/>
      <c r="L47" s="12" t="s">
        <v>3</v>
      </c>
      <c r="M47" s="10">
        <f>SUM(M48:M58)</f>
        <v>0.71990999999999994</v>
      </c>
      <c r="N47" s="20" t="s">
        <v>3</v>
      </c>
      <c r="AG47" s="12" t="s">
        <v>3</v>
      </c>
      <c r="AQ47" s="10">
        <f>SUM(AH48:AH58)</f>
        <v>0</v>
      </c>
      <c r="AR47" s="10">
        <f>SUM(AI48:AI58)</f>
        <v>0</v>
      </c>
      <c r="AS47" s="10">
        <f>SUM(AJ48:AJ58)</f>
        <v>0</v>
      </c>
    </row>
    <row r="48" spans="1:74" ht="15" customHeight="1" x14ac:dyDescent="0.25">
      <c r="A48" s="84"/>
      <c r="B48" s="135">
        <v>32</v>
      </c>
      <c r="C48" s="85" t="s">
        <v>171</v>
      </c>
      <c r="D48" s="136" t="s">
        <v>172</v>
      </c>
      <c r="E48" s="85" t="s">
        <v>122</v>
      </c>
      <c r="F48" s="137">
        <v>1</v>
      </c>
      <c r="G48" s="166">
        <v>0</v>
      </c>
      <c r="H48" s="137">
        <f t="shared" ref="H48:H56" si="48">ROUND(F48*AM48,2)</f>
        <v>0</v>
      </c>
      <c r="I48" s="137">
        <f t="shared" ref="I48:I56" si="49">ROUND(F48*AN48,2)</f>
        <v>0</v>
      </c>
      <c r="J48" s="138">
        <f t="shared" ref="J48:J56" si="50">ROUND(F48*G48,2)</f>
        <v>0</v>
      </c>
      <c r="K48" s="139"/>
      <c r="L48" s="21">
        <v>0</v>
      </c>
      <c r="M48" s="21">
        <f t="shared" ref="M48:M56" si="51">F48*L48</f>
        <v>0</v>
      </c>
      <c r="N48" s="22" t="s">
        <v>3</v>
      </c>
      <c r="X48" s="21">
        <f t="shared" ref="X48:X56" si="52">ROUND(IF(AO48="5",BH48,0),2)</f>
        <v>0</v>
      </c>
      <c r="Z48" s="21">
        <f t="shared" ref="Z48:Z56" si="53">ROUND(IF(AO48="1",BF48,0),2)</f>
        <v>0</v>
      </c>
      <c r="AA48" s="21">
        <f t="shared" ref="AA48:AA56" si="54">ROUND(IF(AO48="1",BG48,0),2)</f>
        <v>0</v>
      </c>
      <c r="AB48" s="21">
        <f t="shared" ref="AB48:AB56" si="55">ROUND(IF(AO48="7",BF48,0),2)</f>
        <v>0</v>
      </c>
      <c r="AC48" s="21">
        <f t="shared" ref="AC48:AC56" si="56">ROUND(IF(AO48="7",BG48,0),2)</f>
        <v>0</v>
      </c>
      <c r="AD48" s="21">
        <f t="shared" ref="AD48:AD56" si="57">ROUND(IF(AO48="2",BF48,0),2)</f>
        <v>0</v>
      </c>
      <c r="AE48" s="21">
        <f t="shared" ref="AE48:AE56" si="58">ROUND(IF(AO48="2",BG48,0),2)</f>
        <v>0</v>
      </c>
      <c r="AF48" s="21">
        <f t="shared" ref="AF48:AF56" si="59">ROUND(IF(AO48="0",BH48,0),2)</f>
        <v>0</v>
      </c>
      <c r="AG48" s="12" t="s">
        <v>3</v>
      </c>
      <c r="AH48" s="21">
        <f t="shared" ref="AH48:AH56" si="60">IF(AL48=0,J48,0)</f>
        <v>0</v>
      </c>
      <c r="AI48" s="21">
        <f t="shared" ref="AI48:AI56" si="61">IF(AL48=12,J48,0)</f>
        <v>0</v>
      </c>
      <c r="AJ48" s="21">
        <f t="shared" ref="AJ48:AJ56" si="62">IF(AL48=21,J48,0)</f>
        <v>0</v>
      </c>
      <c r="AL48" s="21">
        <v>21</v>
      </c>
      <c r="AM48" s="21">
        <f t="shared" ref="AM48:AM55" si="63">G48*1</f>
        <v>0</v>
      </c>
      <c r="AN48" s="21">
        <f t="shared" ref="AN48:AN55" si="64">G48*(1-1)</f>
        <v>0</v>
      </c>
      <c r="AO48" s="23" t="s">
        <v>75</v>
      </c>
      <c r="AT48" s="21">
        <f t="shared" ref="AT48:AT56" si="65">ROUND(AU48+AV48,2)</f>
        <v>0</v>
      </c>
      <c r="AU48" s="21">
        <f t="shared" ref="AU48:AU56" si="66">ROUND(F48*AM48,2)</f>
        <v>0</v>
      </c>
      <c r="AV48" s="21">
        <f t="shared" ref="AV48:AV56" si="67">ROUND(F48*AN48,2)</f>
        <v>0</v>
      </c>
      <c r="AW48" s="23" t="s">
        <v>173</v>
      </c>
      <c r="AX48" s="23" t="s">
        <v>174</v>
      </c>
      <c r="AY48" s="12" t="s">
        <v>83</v>
      </c>
      <c r="BA48" s="21">
        <f t="shared" ref="BA48:BA56" si="68">AU48+AV48</f>
        <v>0</v>
      </c>
      <c r="BB48" s="21">
        <f t="shared" ref="BB48:BB56" si="69">G48/(100-BC48)*100</f>
        <v>0</v>
      </c>
      <c r="BC48" s="21">
        <v>0</v>
      </c>
      <c r="BD48" s="21">
        <f t="shared" ref="BD48:BD56" si="70">M48</f>
        <v>0</v>
      </c>
      <c r="BF48" s="21">
        <f t="shared" ref="BF48:BF56" si="71">F48*AM48</f>
        <v>0</v>
      </c>
      <c r="BG48" s="21">
        <f t="shared" ref="BG48:BG56" si="72">F48*AN48</f>
        <v>0</v>
      </c>
      <c r="BH48" s="21">
        <f t="shared" ref="BH48:BH56" si="73">F48*G48</f>
        <v>0</v>
      </c>
      <c r="BI48" s="23" t="s">
        <v>84</v>
      </c>
      <c r="BJ48" s="21">
        <v>103</v>
      </c>
      <c r="BU48" s="21" t="e">
        <f>#REF!</f>
        <v>#REF!</v>
      </c>
      <c r="BV48" s="28" t="s">
        <v>172</v>
      </c>
    </row>
    <row r="49" spans="1:74" ht="15" customHeight="1" x14ac:dyDescent="0.25">
      <c r="A49" s="84"/>
      <c r="B49" s="135">
        <v>33</v>
      </c>
      <c r="C49" s="85" t="s">
        <v>175</v>
      </c>
      <c r="D49" s="136" t="s">
        <v>176</v>
      </c>
      <c r="E49" s="85" t="s">
        <v>122</v>
      </c>
      <c r="F49" s="137">
        <v>1</v>
      </c>
      <c r="G49" s="166">
        <v>0</v>
      </c>
      <c r="H49" s="137">
        <f t="shared" si="48"/>
        <v>0</v>
      </c>
      <c r="I49" s="137">
        <f t="shared" si="49"/>
        <v>0</v>
      </c>
      <c r="J49" s="138">
        <f t="shared" si="50"/>
        <v>0</v>
      </c>
      <c r="K49" s="139"/>
      <c r="L49" s="21">
        <v>0</v>
      </c>
      <c r="M49" s="21">
        <f t="shared" si="51"/>
        <v>0</v>
      </c>
      <c r="N49" s="22" t="s">
        <v>3</v>
      </c>
      <c r="X49" s="21">
        <f t="shared" si="52"/>
        <v>0</v>
      </c>
      <c r="Z49" s="21">
        <f t="shared" si="53"/>
        <v>0</v>
      </c>
      <c r="AA49" s="21">
        <f t="shared" si="54"/>
        <v>0</v>
      </c>
      <c r="AB49" s="21">
        <f t="shared" si="55"/>
        <v>0</v>
      </c>
      <c r="AC49" s="21">
        <f t="shared" si="56"/>
        <v>0</v>
      </c>
      <c r="AD49" s="21">
        <f t="shared" si="57"/>
        <v>0</v>
      </c>
      <c r="AE49" s="21">
        <f t="shared" si="58"/>
        <v>0</v>
      </c>
      <c r="AF49" s="21">
        <f t="shared" si="59"/>
        <v>0</v>
      </c>
      <c r="AG49" s="12" t="s">
        <v>3</v>
      </c>
      <c r="AH49" s="21">
        <f t="shared" si="60"/>
        <v>0</v>
      </c>
      <c r="AI49" s="21">
        <f t="shared" si="61"/>
        <v>0</v>
      </c>
      <c r="AJ49" s="21">
        <f t="shared" si="62"/>
        <v>0</v>
      </c>
      <c r="AL49" s="21">
        <v>21</v>
      </c>
      <c r="AM49" s="21">
        <f t="shared" si="63"/>
        <v>0</v>
      </c>
      <c r="AN49" s="21">
        <f t="shared" si="64"/>
        <v>0</v>
      </c>
      <c r="AO49" s="23" t="s">
        <v>75</v>
      </c>
      <c r="AT49" s="21">
        <f t="shared" si="65"/>
        <v>0</v>
      </c>
      <c r="AU49" s="21">
        <f t="shared" si="66"/>
        <v>0</v>
      </c>
      <c r="AV49" s="21">
        <f t="shared" si="67"/>
        <v>0</v>
      </c>
      <c r="AW49" s="23" t="s">
        <v>173</v>
      </c>
      <c r="AX49" s="23" t="s">
        <v>174</v>
      </c>
      <c r="AY49" s="12" t="s">
        <v>83</v>
      </c>
      <c r="BA49" s="21">
        <f t="shared" si="68"/>
        <v>0</v>
      </c>
      <c r="BB49" s="21">
        <f t="shared" si="69"/>
        <v>0</v>
      </c>
      <c r="BC49" s="21">
        <v>0</v>
      </c>
      <c r="BD49" s="21">
        <f t="shared" si="70"/>
        <v>0</v>
      </c>
      <c r="BF49" s="21">
        <f t="shared" si="71"/>
        <v>0</v>
      </c>
      <c r="BG49" s="21">
        <f t="shared" si="72"/>
        <v>0</v>
      </c>
      <c r="BH49" s="21">
        <f t="shared" si="73"/>
        <v>0</v>
      </c>
      <c r="BI49" s="23" t="s">
        <v>84</v>
      </c>
      <c r="BJ49" s="21">
        <v>103</v>
      </c>
      <c r="BU49" s="21" t="e">
        <f>#REF!</f>
        <v>#REF!</v>
      </c>
      <c r="BV49" s="1" t="s">
        <v>176</v>
      </c>
    </row>
    <row r="50" spans="1:74" ht="15" customHeight="1" x14ac:dyDescent="0.25">
      <c r="A50" s="84"/>
      <c r="B50" s="135">
        <v>34</v>
      </c>
      <c r="C50" s="85" t="s">
        <v>177</v>
      </c>
      <c r="D50" s="136" t="s">
        <v>178</v>
      </c>
      <c r="E50" s="85" t="s">
        <v>122</v>
      </c>
      <c r="F50" s="137">
        <v>3</v>
      </c>
      <c r="G50" s="166">
        <v>0</v>
      </c>
      <c r="H50" s="137">
        <f t="shared" si="48"/>
        <v>0</v>
      </c>
      <c r="I50" s="137">
        <f t="shared" si="49"/>
        <v>0</v>
      </c>
      <c r="J50" s="138">
        <f t="shared" si="50"/>
        <v>0</v>
      </c>
      <c r="K50" s="139"/>
      <c r="L50" s="21">
        <v>0</v>
      </c>
      <c r="M50" s="21">
        <f t="shared" si="51"/>
        <v>0</v>
      </c>
      <c r="N50" s="22" t="s">
        <v>3</v>
      </c>
      <c r="X50" s="21">
        <f t="shared" si="52"/>
        <v>0</v>
      </c>
      <c r="Z50" s="21">
        <f t="shared" si="53"/>
        <v>0</v>
      </c>
      <c r="AA50" s="21">
        <f t="shared" si="54"/>
        <v>0</v>
      </c>
      <c r="AB50" s="21">
        <f t="shared" si="55"/>
        <v>0</v>
      </c>
      <c r="AC50" s="21">
        <f t="shared" si="56"/>
        <v>0</v>
      </c>
      <c r="AD50" s="21">
        <f t="shared" si="57"/>
        <v>0</v>
      </c>
      <c r="AE50" s="21">
        <f t="shared" si="58"/>
        <v>0</v>
      </c>
      <c r="AF50" s="21">
        <f t="shared" si="59"/>
        <v>0</v>
      </c>
      <c r="AG50" s="12" t="s">
        <v>3</v>
      </c>
      <c r="AH50" s="21">
        <f t="shared" si="60"/>
        <v>0</v>
      </c>
      <c r="AI50" s="21">
        <f t="shared" si="61"/>
        <v>0</v>
      </c>
      <c r="AJ50" s="21">
        <f t="shared" si="62"/>
        <v>0</v>
      </c>
      <c r="AL50" s="21">
        <v>21</v>
      </c>
      <c r="AM50" s="21">
        <f t="shared" si="63"/>
        <v>0</v>
      </c>
      <c r="AN50" s="21">
        <f t="shared" si="64"/>
        <v>0</v>
      </c>
      <c r="AO50" s="23" t="s">
        <v>75</v>
      </c>
      <c r="AT50" s="21">
        <f t="shared" si="65"/>
        <v>0</v>
      </c>
      <c r="AU50" s="21">
        <f t="shared" si="66"/>
        <v>0</v>
      </c>
      <c r="AV50" s="21">
        <f t="shared" si="67"/>
        <v>0</v>
      </c>
      <c r="AW50" s="23" t="s">
        <v>173</v>
      </c>
      <c r="AX50" s="23" t="s">
        <v>174</v>
      </c>
      <c r="AY50" s="12" t="s">
        <v>83</v>
      </c>
      <c r="BA50" s="21">
        <f t="shared" si="68"/>
        <v>0</v>
      </c>
      <c r="BB50" s="21">
        <f t="shared" si="69"/>
        <v>0</v>
      </c>
      <c r="BC50" s="21">
        <v>0</v>
      </c>
      <c r="BD50" s="21">
        <f t="shared" si="70"/>
        <v>0</v>
      </c>
      <c r="BF50" s="21">
        <f t="shared" si="71"/>
        <v>0</v>
      </c>
      <c r="BG50" s="21">
        <f t="shared" si="72"/>
        <v>0</v>
      </c>
      <c r="BH50" s="21">
        <f t="shared" si="73"/>
        <v>0</v>
      </c>
      <c r="BI50" s="23" t="s">
        <v>84</v>
      </c>
      <c r="BJ50" s="21">
        <v>103</v>
      </c>
      <c r="BU50" s="21" t="e">
        <f>#REF!</f>
        <v>#REF!</v>
      </c>
      <c r="BV50" s="28" t="s">
        <v>178</v>
      </c>
    </row>
    <row r="51" spans="1:74" ht="15" customHeight="1" x14ac:dyDescent="0.25">
      <c r="A51" s="84"/>
      <c r="B51" s="135">
        <v>35</v>
      </c>
      <c r="C51" s="85" t="s">
        <v>179</v>
      </c>
      <c r="D51" s="136" t="s">
        <v>180</v>
      </c>
      <c r="E51" s="85" t="s">
        <v>122</v>
      </c>
      <c r="F51" s="137">
        <v>1</v>
      </c>
      <c r="G51" s="166">
        <v>0</v>
      </c>
      <c r="H51" s="137">
        <f t="shared" si="48"/>
        <v>0</v>
      </c>
      <c r="I51" s="137">
        <f t="shared" si="49"/>
        <v>0</v>
      </c>
      <c r="J51" s="138">
        <f t="shared" si="50"/>
        <v>0</v>
      </c>
      <c r="K51" s="139"/>
      <c r="L51" s="21">
        <v>0</v>
      </c>
      <c r="M51" s="21">
        <f t="shared" si="51"/>
        <v>0</v>
      </c>
      <c r="N51" s="22" t="s">
        <v>3</v>
      </c>
      <c r="X51" s="21">
        <f t="shared" si="52"/>
        <v>0</v>
      </c>
      <c r="Z51" s="21">
        <f t="shared" si="53"/>
        <v>0</v>
      </c>
      <c r="AA51" s="21">
        <f t="shared" si="54"/>
        <v>0</v>
      </c>
      <c r="AB51" s="21">
        <f t="shared" si="55"/>
        <v>0</v>
      </c>
      <c r="AC51" s="21">
        <f t="shared" si="56"/>
        <v>0</v>
      </c>
      <c r="AD51" s="21">
        <f t="shared" si="57"/>
        <v>0</v>
      </c>
      <c r="AE51" s="21">
        <f t="shared" si="58"/>
        <v>0</v>
      </c>
      <c r="AF51" s="21">
        <f t="shared" si="59"/>
        <v>0</v>
      </c>
      <c r="AG51" s="12" t="s">
        <v>3</v>
      </c>
      <c r="AH51" s="21">
        <f t="shared" si="60"/>
        <v>0</v>
      </c>
      <c r="AI51" s="21">
        <f t="shared" si="61"/>
        <v>0</v>
      </c>
      <c r="AJ51" s="21">
        <f t="shared" si="62"/>
        <v>0</v>
      </c>
      <c r="AL51" s="21">
        <v>21</v>
      </c>
      <c r="AM51" s="21">
        <f t="shared" si="63"/>
        <v>0</v>
      </c>
      <c r="AN51" s="21">
        <f t="shared" si="64"/>
        <v>0</v>
      </c>
      <c r="AO51" s="23" t="s">
        <v>75</v>
      </c>
      <c r="AT51" s="21">
        <f t="shared" si="65"/>
        <v>0</v>
      </c>
      <c r="AU51" s="21">
        <f t="shared" si="66"/>
        <v>0</v>
      </c>
      <c r="AV51" s="21">
        <f t="shared" si="67"/>
        <v>0</v>
      </c>
      <c r="AW51" s="23" t="s">
        <v>173</v>
      </c>
      <c r="AX51" s="23" t="s">
        <v>174</v>
      </c>
      <c r="AY51" s="12" t="s">
        <v>83</v>
      </c>
      <c r="BA51" s="21">
        <f t="shared" si="68"/>
        <v>0</v>
      </c>
      <c r="BB51" s="21">
        <f t="shared" si="69"/>
        <v>0</v>
      </c>
      <c r="BC51" s="21">
        <v>0</v>
      </c>
      <c r="BD51" s="21">
        <f t="shared" si="70"/>
        <v>0</v>
      </c>
      <c r="BF51" s="21">
        <f t="shared" si="71"/>
        <v>0</v>
      </c>
      <c r="BG51" s="21">
        <f t="shared" si="72"/>
        <v>0</v>
      </c>
      <c r="BH51" s="21">
        <f t="shared" si="73"/>
        <v>0</v>
      </c>
      <c r="BI51" s="23" t="s">
        <v>84</v>
      </c>
      <c r="BJ51" s="21">
        <v>103</v>
      </c>
      <c r="BU51" s="21" t="e">
        <f>#REF!</f>
        <v>#REF!</v>
      </c>
      <c r="BV51" s="1" t="s">
        <v>180</v>
      </c>
    </row>
    <row r="52" spans="1:74" ht="25.5" x14ac:dyDescent="0.25">
      <c r="A52" s="84"/>
      <c r="B52" s="135">
        <v>36</v>
      </c>
      <c r="C52" s="85" t="s">
        <v>181</v>
      </c>
      <c r="D52" s="136" t="s">
        <v>182</v>
      </c>
      <c r="E52" s="85" t="s">
        <v>122</v>
      </c>
      <c r="F52" s="137">
        <v>2</v>
      </c>
      <c r="G52" s="166">
        <v>0</v>
      </c>
      <c r="H52" s="137">
        <f t="shared" si="48"/>
        <v>0</v>
      </c>
      <c r="I52" s="137">
        <f t="shared" si="49"/>
        <v>0</v>
      </c>
      <c r="J52" s="138">
        <f t="shared" si="50"/>
        <v>0</v>
      </c>
      <c r="K52" s="139"/>
      <c r="L52" s="21">
        <v>0</v>
      </c>
      <c r="M52" s="21">
        <f t="shared" si="51"/>
        <v>0</v>
      </c>
      <c r="N52" s="22" t="s">
        <v>3</v>
      </c>
      <c r="X52" s="21">
        <f t="shared" si="52"/>
        <v>0</v>
      </c>
      <c r="Z52" s="21">
        <f t="shared" si="53"/>
        <v>0</v>
      </c>
      <c r="AA52" s="21">
        <f t="shared" si="54"/>
        <v>0</v>
      </c>
      <c r="AB52" s="21">
        <f t="shared" si="55"/>
        <v>0</v>
      </c>
      <c r="AC52" s="21">
        <f t="shared" si="56"/>
        <v>0</v>
      </c>
      <c r="AD52" s="21">
        <f t="shared" si="57"/>
        <v>0</v>
      </c>
      <c r="AE52" s="21">
        <f t="shared" si="58"/>
        <v>0</v>
      </c>
      <c r="AF52" s="21">
        <f t="shared" si="59"/>
        <v>0</v>
      </c>
      <c r="AG52" s="12" t="s">
        <v>3</v>
      </c>
      <c r="AH52" s="21">
        <f t="shared" si="60"/>
        <v>0</v>
      </c>
      <c r="AI52" s="21">
        <f t="shared" si="61"/>
        <v>0</v>
      </c>
      <c r="AJ52" s="21">
        <f t="shared" si="62"/>
        <v>0</v>
      </c>
      <c r="AL52" s="21">
        <v>21</v>
      </c>
      <c r="AM52" s="21">
        <f t="shared" si="63"/>
        <v>0</v>
      </c>
      <c r="AN52" s="21">
        <f t="shared" si="64"/>
        <v>0</v>
      </c>
      <c r="AO52" s="23" t="s">
        <v>75</v>
      </c>
      <c r="AT52" s="21">
        <f t="shared" si="65"/>
        <v>0</v>
      </c>
      <c r="AU52" s="21">
        <f t="shared" si="66"/>
        <v>0</v>
      </c>
      <c r="AV52" s="21">
        <f t="shared" si="67"/>
        <v>0</v>
      </c>
      <c r="AW52" s="23" t="s">
        <v>173</v>
      </c>
      <c r="AX52" s="23" t="s">
        <v>174</v>
      </c>
      <c r="AY52" s="12" t="s">
        <v>83</v>
      </c>
      <c r="BA52" s="21">
        <f t="shared" si="68"/>
        <v>0</v>
      </c>
      <c r="BB52" s="21">
        <f t="shared" si="69"/>
        <v>0</v>
      </c>
      <c r="BC52" s="21">
        <v>0</v>
      </c>
      <c r="BD52" s="21">
        <f t="shared" si="70"/>
        <v>0</v>
      </c>
      <c r="BF52" s="21">
        <f t="shared" si="71"/>
        <v>0</v>
      </c>
      <c r="BG52" s="21">
        <f t="shared" si="72"/>
        <v>0</v>
      </c>
      <c r="BH52" s="21">
        <f t="shared" si="73"/>
        <v>0</v>
      </c>
      <c r="BI52" s="23" t="s">
        <v>84</v>
      </c>
      <c r="BJ52" s="21">
        <v>103</v>
      </c>
      <c r="BU52" s="21" t="e">
        <f>#REF!</f>
        <v>#REF!</v>
      </c>
      <c r="BV52" s="1" t="s">
        <v>182</v>
      </c>
    </row>
    <row r="53" spans="1:74" ht="15" customHeight="1" x14ac:dyDescent="0.25">
      <c r="A53" s="84"/>
      <c r="B53" s="135">
        <v>37</v>
      </c>
      <c r="C53" s="85" t="s">
        <v>183</v>
      </c>
      <c r="D53" s="136" t="s">
        <v>184</v>
      </c>
      <c r="E53" s="85" t="s">
        <v>122</v>
      </c>
      <c r="F53" s="137">
        <v>2</v>
      </c>
      <c r="G53" s="166">
        <v>0</v>
      </c>
      <c r="H53" s="137">
        <f t="shared" si="48"/>
        <v>0</v>
      </c>
      <c r="I53" s="137">
        <f t="shared" si="49"/>
        <v>0</v>
      </c>
      <c r="J53" s="138">
        <f t="shared" si="50"/>
        <v>0</v>
      </c>
      <c r="K53" s="139"/>
      <c r="L53" s="21">
        <v>0</v>
      </c>
      <c r="M53" s="21">
        <f t="shared" si="51"/>
        <v>0</v>
      </c>
      <c r="N53" s="22" t="s">
        <v>3</v>
      </c>
      <c r="X53" s="21">
        <f t="shared" si="52"/>
        <v>0</v>
      </c>
      <c r="Z53" s="21">
        <f t="shared" si="53"/>
        <v>0</v>
      </c>
      <c r="AA53" s="21">
        <f t="shared" si="54"/>
        <v>0</v>
      </c>
      <c r="AB53" s="21">
        <f t="shared" si="55"/>
        <v>0</v>
      </c>
      <c r="AC53" s="21">
        <f t="shared" si="56"/>
        <v>0</v>
      </c>
      <c r="AD53" s="21">
        <f t="shared" si="57"/>
        <v>0</v>
      </c>
      <c r="AE53" s="21">
        <f t="shared" si="58"/>
        <v>0</v>
      </c>
      <c r="AF53" s="21">
        <f t="shared" si="59"/>
        <v>0</v>
      </c>
      <c r="AG53" s="12" t="s">
        <v>3</v>
      </c>
      <c r="AH53" s="21">
        <f t="shared" si="60"/>
        <v>0</v>
      </c>
      <c r="AI53" s="21">
        <f t="shared" si="61"/>
        <v>0</v>
      </c>
      <c r="AJ53" s="21">
        <f t="shared" si="62"/>
        <v>0</v>
      </c>
      <c r="AL53" s="21">
        <v>21</v>
      </c>
      <c r="AM53" s="21">
        <f t="shared" si="63"/>
        <v>0</v>
      </c>
      <c r="AN53" s="21">
        <f t="shared" si="64"/>
        <v>0</v>
      </c>
      <c r="AO53" s="23" t="s">
        <v>75</v>
      </c>
      <c r="AT53" s="21">
        <f t="shared" si="65"/>
        <v>0</v>
      </c>
      <c r="AU53" s="21">
        <f t="shared" si="66"/>
        <v>0</v>
      </c>
      <c r="AV53" s="21">
        <f t="shared" si="67"/>
        <v>0</v>
      </c>
      <c r="AW53" s="23" t="s">
        <v>173</v>
      </c>
      <c r="AX53" s="23" t="s">
        <v>174</v>
      </c>
      <c r="AY53" s="12" t="s">
        <v>83</v>
      </c>
      <c r="BA53" s="21">
        <f t="shared" si="68"/>
        <v>0</v>
      </c>
      <c r="BB53" s="21">
        <f t="shared" si="69"/>
        <v>0</v>
      </c>
      <c r="BC53" s="21">
        <v>0</v>
      </c>
      <c r="BD53" s="21">
        <f t="shared" si="70"/>
        <v>0</v>
      </c>
      <c r="BF53" s="21">
        <f t="shared" si="71"/>
        <v>0</v>
      </c>
      <c r="BG53" s="21">
        <f t="shared" si="72"/>
        <v>0</v>
      </c>
      <c r="BH53" s="21">
        <f t="shared" si="73"/>
        <v>0</v>
      </c>
      <c r="BI53" s="23" t="s">
        <v>84</v>
      </c>
      <c r="BJ53" s="21">
        <v>103</v>
      </c>
      <c r="BU53" s="21" t="e">
        <f>#REF!</f>
        <v>#REF!</v>
      </c>
      <c r="BV53" s="1" t="s">
        <v>184</v>
      </c>
    </row>
    <row r="54" spans="1:74" ht="15" customHeight="1" x14ac:dyDescent="0.25">
      <c r="A54" s="84"/>
      <c r="B54" s="135">
        <v>38</v>
      </c>
      <c r="C54" s="85" t="s">
        <v>185</v>
      </c>
      <c r="D54" s="136" t="s">
        <v>186</v>
      </c>
      <c r="E54" s="85" t="s">
        <v>122</v>
      </c>
      <c r="F54" s="137">
        <v>8</v>
      </c>
      <c r="G54" s="166">
        <v>0</v>
      </c>
      <c r="H54" s="137">
        <f t="shared" si="48"/>
        <v>0</v>
      </c>
      <c r="I54" s="137">
        <f t="shared" si="49"/>
        <v>0</v>
      </c>
      <c r="J54" s="138">
        <f t="shared" si="50"/>
        <v>0</v>
      </c>
      <c r="K54" s="139"/>
      <c r="L54" s="21">
        <v>0</v>
      </c>
      <c r="M54" s="21">
        <f t="shared" si="51"/>
        <v>0</v>
      </c>
      <c r="N54" s="22" t="s">
        <v>3</v>
      </c>
      <c r="X54" s="21">
        <f t="shared" si="52"/>
        <v>0</v>
      </c>
      <c r="Z54" s="21">
        <f t="shared" si="53"/>
        <v>0</v>
      </c>
      <c r="AA54" s="21">
        <f t="shared" si="54"/>
        <v>0</v>
      </c>
      <c r="AB54" s="21">
        <f t="shared" si="55"/>
        <v>0</v>
      </c>
      <c r="AC54" s="21">
        <f t="shared" si="56"/>
        <v>0</v>
      </c>
      <c r="AD54" s="21">
        <f t="shared" si="57"/>
        <v>0</v>
      </c>
      <c r="AE54" s="21">
        <f t="shared" si="58"/>
        <v>0</v>
      </c>
      <c r="AF54" s="21">
        <f t="shared" si="59"/>
        <v>0</v>
      </c>
      <c r="AG54" s="12" t="s">
        <v>3</v>
      </c>
      <c r="AH54" s="21">
        <f t="shared" si="60"/>
        <v>0</v>
      </c>
      <c r="AI54" s="21">
        <f t="shared" si="61"/>
        <v>0</v>
      </c>
      <c r="AJ54" s="21">
        <f t="shared" si="62"/>
        <v>0</v>
      </c>
      <c r="AL54" s="21">
        <v>21</v>
      </c>
      <c r="AM54" s="21">
        <f t="shared" si="63"/>
        <v>0</v>
      </c>
      <c r="AN54" s="21">
        <f t="shared" si="64"/>
        <v>0</v>
      </c>
      <c r="AO54" s="23" t="s">
        <v>75</v>
      </c>
      <c r="AT54" s="21">
        <f t="shared" si="65"/>
        <v>0</v>
      </c>
      <c r="AU54" s="21">
        <f t="shared" si="66"/>
        <v>0</v>
      </c>
      <c r="AV54" s="21">
        <f t="shared" si="67"/>
        <v>0</v>
      </c>
      <c r="AW54" s="23" t="s">
        <v>173</v>
      </c>
      <c r="AX54" s="23" t="s">
        <v>174</v>
      </c>
      <c r="AY54" s="12" t="s">
        <v>83</v>
      </c>
      <c r="BA54" s="21">
        <f t="shared" si="68"/>
        <v>0</v>
      </c>
      <c r="BB54" s="21">
        <f t="shared" si="69"/>
        <v>0</v>
      </c>
      <c r="BC54" s="21">
        <v>0</v>
      </c>
      <c r="BD54" s="21">
        <f t="shared" si="70"/>
        <v>0</v>
      </c>
      <c r="BF54" s="21">
        <f t="shared" si="71"/>
        <v>0</v>
      </c>
      <c r="BG54" s="21">
        <f t="shared" si="72"/>
        <v>0</v>
      </c>
      <c r="BH54" s="21">
        <f t="shared" si="73"/>
        <v>0</v>
      </c>
      <c r="BI54" s="23" t="s">
        <v>84</v>
      </c>
      <c r="BJ54" s="21">
        <v>103</v>
      </c>
      <c r="BU54" s="21" t="e">
        <f>#REF!</f>
        <v>#REF!</v>
      </c>
      <c r="BV54" s="28" t="s">
        <v>186</v>
      </c>
    </row>
    <row r="55" spans="1:74" ht="15" customHeight="1" x14ac:dyDescent="0.25">
      <c r="A55" s="84"/>
      <c r="B55" s="135">
        <v>39</v>
      </c>
      <c r="C55" s="85" t="s">
        <v>187</v>
      </c>
      <c r="D55" s="136" t="s">
        <v>188</v>
      </c>
      <c r="E55" s="85" t="s">
        <v>122</v>
      </c>
      <c r="F55" s="137">
        <v>2</v>
      </c>
      <c r="G55" s="166">
        <v>0</v>
      </c>
      <c r="H55" s="137">
        <f t="shared" si="48"/>
        <v>0</v>
      </c>
      <c r="I55" s="137">
        <f t="shared" si="49"/>
        <v>0</v>
      </c>
      <c r="J55" s="138">
        <f t="shared" si="50"/>
        <v>0</v>
      </c>
      <c r="K55" s="139"/>
      <c r="L55" s="21">
        <v>0</v>
      </c>
      <c r="M55" s="21">
        <f t="shared" si="51"/>
        <v>0</v>
      </c>
      <c r="N55" s="22" t="s">
        <v>3</v>
      </c>
      <c r="X55" s="21">
        <f t="shared" si="52"/>
        <v>0</v>
      </c>
      <c r="Z55" s="21">
        <f t="shared" si="53"/>
        <v>0</v>
      </c>
      <c r="AA55" s="21">
        <f t="shared" si="54"/>
        <v>0</v>
      </c>
      <c r="AB55" s="21">
        <f t="shared" si="55"/>
        <v>0</v>
      </c>
      <c r="AC55" s="21">
        <f t="shared" si="56"/>
        <v>0</v>
      </c>
      <c r="AD55" s="21">
        <f t="shared" si="57"/>
        <v>0</v>
      </c>
      <c r="AE55" s="21">
        <f t="shared" si="58"/>
        <v>0</v>
      </c>
      <c r="AF55" s="21">
        <f t="shared" si="59"/>
        <v>0</v>
      </c>
      <c r="AG55" s="12" t="s">
        <v>3</v>
      </c>
      <c r="AH55" s="21">
        <f t="shared" si="60"/>
        <v>0</v>
      </c>
      <c r="AI55" s="21">
        <f t="shared" si="61"/>
        <v>0</v>
      </c>
      <c r="AJ55" s="21">
        <f t="shared" si="62"/>
        <v>0</v>
      </c>
      <c r="AL55" s="21">
        <v>21</v>
      </c>
      <c r="AM55" s="21">
        <f t="shared" si="63"/>
        <v>0</v>
      </c>
      <c r="AN55" s="21">
        <f t="shared" si="64"/>
        <v>0</v>
      </c>
      <c r="AO55" s="23" t="s">
        <v>75</v>
      </c>
      <c r="AT55" s="21">
        <f t="shared" si="65"/>
        <v>0</v>
      </c>
      <c r="AU55" s="21">
        <f t="shared" si="66"/>
        <v>0</v>
      </c>
      <c r="AV55" s="21">
        <f t="shared" si="67"/>
        <v>0</v>
      </c>
      <c r="AW55" s="23" t="s">
        <v>173</v>
      </c>
      <c r="AX55" s="23" t="s">
        <v>174</v>
      </c>
      <c r="AY55" s="12" t="s">
        <v>83</v>
      </c>
      <c r="BA55" s="21">
        <f t="shared" si="68"/>
        <v>0</v>
      </c>
      <c r="BB55" s="21">
        <f t="shared" si="69"/>
        <v>0</v>
      </c>
      <c r="BC55" s="21">
        <v>0</v>
      </c>
      <c r="BD55" s="21">
        <f t="shared" si="70"/>
        <v>0</v>
      </c>
      <c r="BF55" s="21">
        <f t="shared" si="71"/>
        <v>0</v>
      </c>
      <c r="BG55" s="21">
        <f t="shared" si="72"/>
        <v>0</v>
      </c>
      <c r="BH55" s="21">
        <f t="shared" si="73"/>
        <v>0</v>
      </c>
      <c r="BI55" s="23" t="s">
        <v>84</v>
      </c>
      <c r="BJ55" s="21">
        <v>103</v>
      </c>
      <c r="BU55" s="21" t="e">
        <f>#REF!</f>
        <v>#REF!</v>
      </c>
      <c r="BV55" s="1" t="s">
        <v>188</v>
      </c>
    </row>
    <row r="56" spans="1:74" x14ac:dyDescent="0.25">
      <c r="A56" s="84"/>
      <c r="B56" s="135">
        <v>40</v>
      </c>
      <c r="C56" s="85" t="s">
        <v>189</v>
      </c>
      <c r="D56" s="136" t="s">
        <v>190</v>
      </c>
      <c r="E56" s="85" t="s">
        <v>122</v>
      </c>
      <c r="F56" s="137">
        <v>3</v>
      </c>
      <c r="G56" s="166">
        <v>0</v>
      </c>
      <c r="H56" s="137">
        <f t="shared" si="48"/>
        <v>0</v>
      </c>
      <c r="I56" s="137">
        <f t="shared" si="49"/>
        <v>0</v>
      </c>
      <c r="J56" s="138">
        <f t="shared" si="50"/>
        <v>0</v>
      </c>
      <c r="K56" s="139"/>
      <c r="L56" s="21">
        <v>0.23996999999999999</v>
      </c>
      <c r="M56" s="21">
        <f t="shared" si="51"/>
        <v>0.71990999999999994</v>
      </c>
      <c r="N56" s="22" t="s">
        <v>3</v>
      </c>
      <c r="X56" s="21">
        <f t="shared" si="52"/>
        <v>0</v>
      </c>
      <c r="Z56" s="21">
        <f t="shared" si="53"/>
        <v>0</v>
      </c>
      <c r="AA56" s="21">
        <f t="shared" si="54"/>
        <v>0</v>
      </c>
      <c r="AB56" s="21">
        <f t="shared" si="55"/>
        <v>0</v>
      </c>
      <c r="AC56" s="21">
        <f t="shared" si="56"/>
        <v>0</v>
      </c>
      <c r="AD56" s="21">
        <f t="shared" si="57"/>
        <v>0</v>
      </c>
      <c r="AE56" s="21">
        <f t="shared" si="58"/>
        <v>0</v>
      </c>
      <c r="AF56" s="21">
        <f t="shared" si="59"/>
        <v>0</v>
      </c>
      <c r="AG56" s="12" t="s">
        <v>3</v>
      </c>
      <c r="AH56" s="21">
        <f t="shared" si="60"/>
        <v>0</v>
      </c>
      <c r="AI56" s="21">
        <f t="shared" si="61"/>
        <v>0</v>
      </c>
      <c r="AJ56" s="21">
        <f t="shared" si="62"/>
        <v>0</v>
      </c>
      <c r="AL56" s="21">
        <v>21</v>
      </c>
      <c r="AM56" s="21">
        <f>G56*0.491566347</f>
        <v>0</v>
      </c>
      <c r="AN56" s="21">
        <f>G56*(1-0.491566347)</f>
        <v>0</v>
      </c>
      <c r="AO56" s="23" t="s">
        <v>75</v>
      </c>
      <c r="AT56" s="21">
        <f t="shared" si="65"/>
        <v>0</v>
      </c>
      <c r="AU56" s="21">
        <f t="shared" si="66"/>
        <v>0</v>
      </c>
      <c r="AV56" s="21">
        <f t="shared" si="67"/>
        <v>0</v>
      </c>
      <c r="AW56" s="23" t="s">
        <v>173</v>
      </c>
      <c r="AX56" s="23" t="s">
        <v>174</v>
      </c>
      <c r="AY56" s="12" t="s">
        <v>83</v>
      </c>
      <c r="BA56" s="21">
        <f t="shared" si="68"/>
        <v>0</v>
      </c>
      <c r="BB56" s="21">
        <f t="shared" si="69"/>
        <v>0</v>
      </c>
      <c r="BC56" s="21">
        <v>0</v>
      </c>
      <c r="BD56" s="21">
        <f t="shared" si="70"/>
        <v>0.71990999999999994</v>
      </c>
      <c r="BF56" s="21">
        <f t="shared" si="71"/>
        <v>0</v>
      </c>
      <c r="BG56" s="21">
        <f t="shared" si="72"/>
        <v>0</v>
      </c>
      <c r="BH56" s="21">
        <f t="shared" si="73"/>
        <v>0</v>
      </c>
      <c r="BI56" s="23" t="s">
        <v>84</v>
      </c>
      <c r="BJ56" s="21">
        <v>103</v>
      </c>
      <c r="BU56" s="21" t="e">
        <f>#REF!</f>
        <v>#REF!</v>
      </c>
      <c r="BV56" s="1" t="s">
        <v>190</v>
      </c>
    </row>
    <row r="57" spans="1:74" ht="13.5" customHeight="1" x14ac:dyDescent="0.25">
      <c r="A57" s="84"/>
      <c r="B57" s="144"/>
      <c r="C57" s="145" t="s">
        <v>123</v>
      </c>
      <c r="D57" s="146" t="s">
        <v>191</v>
      </c>
      <c r="E57" s="147"/>
      <c r="F57" s="147"/>
      <c r="G57" s="168"/>
      <c r="H57" s="147"/>
      <c r="I57" s="147"/>
      <c r="J57" s="148"/>
      <c r="K57" s="149"/>
      <c r="L57" s="29"/>
      <c r="M57" s="29"/>
      <c r="N57" s="30"/>
    </row>
    <row r="58" spans="1:74" ht="15" customHeight="1" x14ac:dyDescent="0.25">
      <c r="A58" s="84"/>
      <c r="B58" s="135">
        <v>41</v>
      </c>
      <c r="C58" s="85" t="s">
        <v>192</v>
      </c>
      <c r="D58" s="136" t="s">
        <v>193</v>
      </c>
      <c r="E58" s="85" t="s">
        <v>118</v>
      </c>
      <c r="F58" s="137">
        <v>0.56000000000000005</v>
      </c>
      <c r="G58" s="166">
        <v>0</v>
      </c>
      <c r="H58" s="137">
        <f>ROUND(F58*AM58,2)</f>
        <v>0</v>
      </c>
      <c r="I58" s="137">
        <f>ROUND(F58*AN58,2)</f>
        <v>0</v>
      </c>
      <c r="J58" s="138">
        <f>ROUND(F58*G58,2)</f>
        <v>0</v>
      </c>
      <c r="K58" s="139"/>
      <c r="L58" s="21">
        <v>0</v>
      </c>
      <c r="M58" s="21">
        <f>F58*L58</f>
        <v>0</v>
      </c>
      <c r="N58" s="22" t="s">
        <v>79</v>
      </c>
      <c r="X58" s="21">
        <f>ROUND(IF(AO58="5",BH58,0),2)</f>
        <v>0</v>
      </c>
      <c r="Z58" s="21">
        <f>ROUND(IF(AO58="1",BF58,0),2)</f>
        <v>0</v>
      </c>
      <c r="AA58" s="21">
        <f>ROUND(IF(AO58="1",BG58,0),2)</f>
        <v>0</v>
      </c>
      <c r="AB58" s="21">
        <f>ROUND(IF(AO58="7",BF58,0),2)</f>
        <v>0</v>
      </c>
      <c r="AC58" s="21">
        <f>ROUND(IF(AO58="7",BG58,0),2)</f>
        <v>0</v>
      </c>
      <c r="AD58" s="21">
        <f>ROUND(IF(AO58="2",BF58,0),2)</f>
        <v>0</v>
      </c>
      <c r="AE58" s="21">
        <f>ROUND(IF(AO58="2",BG58,0),2)</f>
        <v>0</v>
      </c>
      <c r="AF58" s="21">
        <f>ROUND(IF(AO58="0",BH58,0),2)</f>
        <v>0</v>
      </c>
      <c r="AG58" s="12" t="s">
        <v>3</v>
      </c>
      <c r="AH58" s="21">
        <f>IF(AL58=0,J58,0)</f>
        <v>0</v>
      </c>
      <c r="AI58" s="21">
        <f>IF(AL58=12,J58,0)</f>
        <v>0</v>
      </c>
      <c r="AJ58" s="21">
        <f>IF(AL58=21,J58,0)</f>
        <v>0</v>
      </c>
      <c r="AL58" s="21">
        <v>21</v>
      </c>
      <c r="AM58" s="21">
        <f>G58*0</f>
        <v>0</v>
      </c>
      <c r="AN58" s="21">
        <f>G58*(1-0)</f>
        <v>0</v>
      </c>
      <c r="AO58" s="23" t="s">
        <v>94</v>
      </c>
      <c r="AT58" s="21">
        <f>ROUND(AU58+AV58,2)</f>
        <v>0</v>
      </c>
      <c r="AU58" s="21">
        <f>ROUND(F58*AM58,2)</f>
        <v>0</v>
      </c>
      <c r="AV58" s="21">
        <f>ROUND(F58*AN58,2)</f>
        <v>0</v>
      </c>
      <c r="AW58" s="23" t="s">
        <v>173</v>
      </c>
      <c r="AX58" s="23" t="s">
        <v>174</v>
      </c>
      <c r="AY58" s="12" t="s">
        <v>83</v>
      </c>
      <c r="BA58" s="21">
        <f>AU58+AV58</f>
        <v>0</v>
      </c>
      <c r="BB58" s="21">
        <f>G58/(100-BC58)*100</f>
        <v>0</v>
      </c>
      <c r="BC58" s="21">
        <v>0</v>
      </c>
      <c r="BD58" s="21">
        <f>M58</f>
        <v>0</v>
      </c>
      <c r="BF58" s="21">
        <f>F58*AM58</f>
        <v>0</v>
      </c>
      <c r="BG58" s="21">
        <f>F58*AN58</f>
        <v>0</v>
      </c>
      <c r="BH58" s="21">
        <f>F58*G58</f>
        <v>0</v>
      </c>
      <c r="BI58" s="23" t="s">
        <v>84</v>
      </c>
      <c r="BJ58" s="21">
        <v>103</v>
      </c>
      <c r="BU58" s="21" t="e">
        <f>#REF!</f>
        <v>#REF!</v>
      </c>
      <c r="BV58" s="1" t="s">
        <v>193</v>
      </c>
    </row>
    <row r="59" spans="1:74" x14ac:dyDescent="0.25">
      <c r="A59" s="84"/>
      <c r="B59" s="140" t="s">
        <v>3</v>
      </c>
      <c r="C59" s="121" t="s">
        <v>194</v>
      </c>
      <c r="D59" s="122" t="s">
        <v>195</v>
      </c>
      <c r="E59" s="120" t="s">
        <v>41</v>
      </c>
      <c r="F59" s="120" t="s">
        <v>41</v>
      </c>
      <c r="G59" s="167" t="s">
        <v>41</v>
      </c>
      <c r="H59" s="123">
        <f>SUM(H60:H101)</f>
        <v>0</v>
      </c>
      <c r="I59" s="123">
        <f>SUM(I60:I101)</f>
        <v>0</v>
      </c>
      <c r="J59" s="141">
        <f>SUM(J60:J101)</f>
        <v>0</v>
      </c>
      <c r="K59" s="124"/>
      <c r="L59" s="12" t="s">
        <v>3</v>
      </c>
      <c r="M59" s="10">
        <f>SUM(M60:M101)</f>
        <v>20.161559999999998</v>
      </c>
      <c r="N59" s="20" t="s">
        <v>3</v>
      </c>
      <c r="AG59" s="12" t="s">
        <v>3</v>
      </c>
      <c r="AQ59" s="10">
        <f>SUM(AH60:AH101)</f>
        <v>0</v>
      </c>
      <c r="AR59" s="10">
        <f>SUM(AI60:AI101)</f>
        <v>0</v>
      </c>
      <c r="AS59" s="10">
        <f>SUM(AJ60:AJ101)</f>
        <v>0</v>
      </c>
    </row>
    <row r="60" spans="1:74" x14ac:dyDescent="0.25">
      <c r="A60" s="84"/>
      <c r="B60" s="135">
        <v>42</v>
      </c>
      <c r="C60" s="85" t="s">
        <v>196</v>
      </c>
      <c r="D60" s="136" t="s">
        <v>197</v>
      </c>
      <c r="E60" s="85" t="s">
        <v>78</v>
      </c>
      <c r="F60" s="137">
        <v>6</v>
      </c>
      <c r="G60" s="166">
        <v>0</v>
      </c>
      <c r="H60" s="137">
        <f t="shared" ref="H60:H66" si="74">ROUND(F60*AM60,2)</f>
        <v>0</v>
      </c>
      <c r="I60" s="137">
        <f t="shared" ref="I60:I66" si="75">ROUND(F60*AN60,2)</f>
        <v>0</v>
      </c>
      <c r="J60" s="138">
        <f t="shared" ref="J60:J66" si="76">ROUND(F60*G60,2)</f>
        <v>0</v>
      </c>
      <c r="K60" s="139"/>
      <c r="L60" s="21">
        <v>3.4000000000000002E-4</v>
      </c>
      <c r="M60" s="21">
        <f t="shared" ref="M60:M66" si="77">F60*L60</f>
        <v>2.0400000000000001E-3</v>
      </c>
      <c r="N60" s="22" t="s">
        <v>79</v>
      </c>
      <c r="X60" s="21">
        <f t="shared" ref="X60:X66" si="78">ROUND(IF(AO60="5",BH60,0),2)</f>
        <v>0</v>
      </c>
      <c r="Z60" s="21">
        <f t="shared" ref="Z60:Z66" si="79">ROUND(IF(AO60="1",BF60,0),2)</f>
        <v>0</v>
      </c>
      <c r="AA60" s="21">
        <f t="shared" ref="AA60:AA66" si="80">ROUND(IF(AO60="1",BG60,0),2)</f>
        <v>0</v>
      </c>
      <c r="AB60" s="21">
        <f t="shared" ref="AB60:AB66" si="81">ROUND(IF(AO60="7",BF60,0),2)</f>
        <v>0</v>
      </c>
      <c r="AC60" s="21">
        <f t="shared" ref="AC60:AC66" si="82">ROUND(IF(AO60="7",BG60,0),2)</f>
        <v>0</v>
      </c>
      <c r="AD60" s="21">
        <f t="shared" ref="AD60:AD66" si="83">ROUND(IF(AO60="2",BF60,0),2)</f>
        <v>0</v>
      </c>
      <c r="AE60" s="21">
        <f t="shared" ref="AE60:AE66" si="84">ROUND(IF(AO60="2",BG60,0),2)</f>
        <v>0</v>
      </c>
      <c r="AF60" s="21">
        <f t="shared" ref="AF60:AF66" si="85">ROUND(IF(AO60="0",BH60,0),2)</f>
        <v>0</v>
      </c>
      <c r="AG60" s="12" t="s">
        <v>3</v>
      </c>
      <c r="AH60" s="21">
        <f t="shared" ref="AH60:AH66" si="86">IF(AL60=0,J60,0)</f>
        <v>0</v>
      </c>
      <c r="AI60" s="21">
        <f t="shared" ref="AI60:AI66" si="87">IF(AL60=12,J60,0)</f>
        <v>0</v>
      </c>
      <c r="AJ60" s="21">
        <f t="shared" ref="AJ60:AJ66" si="88">IF(AL60=21,J60,0)</f>
        <v>0</v>
      </c>
      <c r="AL60" s="21">
        <v>21</v>
      </c>
      <c r="AM60" s="21">
        <f>G60*0.306450617</f>
        <v>0</v>
      </c>
      <c r="AN60" s="21">
        <f>G60*(1-0.306450617)</f>
        <v>0</v>
      </c>
      <c r="AO60" s="23" t="s">
        <v>80</v>
      </c>
      <c r="AT60" s="21">
        <f t="shared" ref="AT60:AT66" si="89">ROUND(AU60+AV60,2)</f>
        <v>0</v>
      </c>
      <c r="AU60" s="21">
        <f t="shared" ref="AU60:AU66" si="90">ROUND(F60*AM60,2)</f>
        <v>0</v>
      </c>
      <c r="AV60" s="21">
        <f t="shared" ref="AV60:AV66" si="91">ROUND(F60*AN60,2)</f>
        <v>0</v>
      </c>
      <c r="AW60" s="23" t="s">
        <v>198</v>
      </c>
      <c r="AX60" s="23" t="s">
        <v>82</v>
      </c>
      <c r="AY60" s="12" t="s">
        <v>83</v>
      </c>
      <c r="BA60" s="21">
        <f t="shared" ref="BA60:BA66" si="92">AU60+AV60</f>
        <v>0</v>
      </c>
      <c r="BB60" s="21">
        <f t="shared" ref="BB60:BB66" si="93">G60/(100-BC60)*100</f>
        <v>0</v>
      </c>
      <c r="BC60" s="21">
        <v>0</v>
      </c>
      <c r="BD60" s="21">
        <f t="shared" ref="BD60:BD66" si="94">M60</f>
        <v>2.0400000000000001E-3</v>
      </c>
      <c r="BF60" s="21">
        <f t="shared" ref="BF60:BF66" si="95">F60*AM60</f>
        <v>0</v>
      </c>
      <c r="BG60" s="21">
        <f t="shared" ref="BG60:BG66" si="96">F60*AN60</f>
        <v>0</v>
      </c>
      <c r="BH60" s="21">
        <f t="shared" ref="BH60:BH66" si="97">F60*G60</f>
        <v>0</v>
      </c>
      <c r="BI60" s="23" t="s">
        <v>84</v>
      </c>
      <c r="BJ60" s="21">
        <v>7211</v>
      </c>
      <c r="BU60" s="21" t="e">
        <f>#REF!</f>
        <v>#REF!</v>
      </c>
      <c r="BV60" s="1" t="s">
        <v>197</v>
      </c>
    </row>
    <row r="61" spans="1:74" x14ac:dyDescent="0.25">
      <c r="A61" s="84"/>
      <c r="B61" s="135">
        <v>43</v>
      </c>
      <c r="C61" s="85" t="s">
        <v>199</v>
      </c>
      <c r="D61" s="136" t="s">
        <v>200</v>
      </c>
      <c r="E61" s="85" t="s">
        <v>78</v>
      </c>
      <c r="F61" s="137">
        <v>4</v>
      </c>
      <c r="G61" s="166">
        <v>0</v>
      </c>
      <c r="H61" s="137">
        <f t="shared" si="74"/>
        <v>0</v>
      </c>
      <c r="I61" s="137">
        <f t="shared" si="75"/>
        <v>0</v>
      </c>
      <c r="J61" s="138">
        <f t="shared" si="76"/>
        <v>0</v>
      </c>
      <c r="K61" s="139"/>
      <c r="L61" s="21">
        <v>3.8000000000000002E-4</v>
      </c>
      <c r="M61" s="21">
        <f t="shared" si="77"/>
        <v>1.5200000000000001E-3</v>
      </c>
      <c r="N61" s="22" t="s">
        <v>79</v>
      </c>
      <c r="X61" s="21">
        <f t="shared" si="78"/>
        <v>0</v>
      </c>
      <c r="Z61" s="21">
        <f t="shared" si="79"/>
        <v>0</v>
      </c>
      <c r="AA61" s="21">
        <f t="shared" si="80"/>
        <v>0</v>
      </c>
      <c r="AB61" s="21">
        <f t="shared" si="81"/>
        <v>0</v>
      </c>
      <c r="AC61" s="21">
        <f t="shared" si="82"/>
        <v>0</v>
      </c>
      <c r="AD61" s="21">
        <f t="shared" si="83"/>
        <v>0</v>
      </c>
      <c r="AE61" s="21">
        <f t="shared" si="84"/>
        <v>0</v>
      </c>
      <c r="AF61" s="21">
        <f t="shared" si="85"/>
        <v>0</v>
      </c>
      <c r="AG61" s="12" t="s">
        <v>3</v>
      </c>
      <c r="AH61" s="21">
        <f t="shared" si="86"/>
        <v>0</v>
      </c>
      <c r="AI61" s="21">
        <f t="shared" si="87"/>
        <v>0</v>
      </c>
      <c r="AJ61" s="21">
        <f t="shared" si="88"/>
        <v>0</v>
      </c>
      <c r="AL61" s="21">
        <v>21</v>
      </c>
      <c r="AM61" s="21">
        <f>G61*0.259176277</f>
        <v>0</v>
      </c>
      <c r="AN61" s="21">
        <f>G61*(1-0.259176277)</f>
        <v>0</v>
      </c>
      <c r="AO61" s="23" t="s">
        <v>80</v>
      </c>
      <c r="AT61" s="21">
        <f t="shared" si="89"/>
        <v>0</v>
      </c>
      <c r="AU61" s="21">
        <f t="shared" si="90"/>
        <v>0</v>
      </c>
      <c r="AV61" s="21">
        <f t="shared" si="91"/>
        <v>0</v>
      </c>
      <c r="AW61" s="23" t="s">
        <v>198</v>
      </c>
      <c r="AX61" s="23" t="s">
        <v>82</v>
      </c>
      <c r="AY61" s="12" t="s">
        <v>83</v>
      </c>
      <c r="BA61" s="21">
        <f t="shared" si="92"/>
        <v>0</v>
      </c>
      <c r="BB61" s="21">
        <f t="shared" si="93"/>
        <v>0</v>
      </c>
      <c r="BC61" s="21">
        <v>0</v>
      </c>
      <c r="BD61" s="21">
        <f t="shared" si="94"/>
        <v>1.5200000000000001E-3</v>
      </c>
      <c r="BF61" s="21">
        <f t="shared" si="95"/>
        <v>0</v>
      </c>
      <c r="BG61" s="21">
        <f t="shared" si="96"/>
        <v>0</v>
      </c>
      <c r="BH61" s="21">
        <f t="shared" si="97"/>
        <v>0</v>
      </c>
      <c r="BI61" s="23" t="s">
        <v>84</v>
      </c>
      <c r="BJ61" s="21">
        <v>7211</v>
      </c>
      <c r="BU61" s="21" t="e">
        <f>#REF!</f>
        <v>#REF!</v>
      </c>
      <c r="BV61" s="1" t="s">
        <v>200</v>
      </c>
    </row>
    <row r="62" spans="1:74" x14ac:dyDescent="0.25">
      <c r="A62" s="84"/>
      <c r="B62" s="135">
        <v>44</v>
      </c>
      <c r="C62" s="85" t="s">
        <v>201</v>
      </c>
      <c r="D62" s="136" t="s">
        <v>202</v>
      </c>
      <c r="E62" s="85" t="s">
        <v>78</v>
      </c>
      <c r="F62" s="137">
        <v>8</v>
      </c>
      <c r="G62" s="166">
        <v>0</v>
      </c>
      <c r="H62" s="137">
        <f t="shared" si="74"/>
        <v>0</v>
      </c>
      <c r="I62" s="137">
        <f t="shared" si="75"/>
        <v>0</v>
      </c>
      <c r="J62" s="138">
        <f t="shared" si="76"/>
        <v>0</v>
      </c>
      <c r="K62" s="139"/>
      <c r="L62" s="21">
        <v>4.6999999999999999E-4</v>
      </c>
      <c r="M62" s="21">
        <f t="shared" si="77"/>
        <v>3.7599999999999999E-3</v>
      </c>
      <c r="N62" s="22" t="s">
        <v>79</v>
      </c>
      <c r="X62" s="21">
        <f t="shared" si="78"/>
        <v>0</v>
      </c>
      <c r="Z62" s="21">
        <f t="shared" si="79"/>
        <v>0</v>
      </c>
      <c r="AA62" s="21">
        <f t="shared" si="80"/>
        <v>0</v>
      </c>
      <c r="AB62" s="21">
        <f t="shared" si="81"/>
        <v>0</v>
      </c>
      <c r="AC62" s="21">
        <f t="shared" si="82"/>
        <v>0</v>
      </c>
      <c r="AD62" s="21">
        <f t="shared" si="83"/>
        <v>0</v>
      </c>
      <c r="AE62" s="21">
        <f t="shared" si="84"/>
        <v>0</v>
      </c>
      <c r="AF62" s="21">
        <f t="shared" si="85"/>
        <v>0</v>
      </c>
      <c r="AG62" s="12" t="s">
        <v>3</v>
      </c>
      <c r="AH62" s="21">
        <f t="shared" si="86"/>
        <v>0</v>
      </c>
      <c r="AI62" s="21">
        <f t="shared" si="87"/>
        <v>0</v>
      </c>
      <c r="AJ62" s="21">
        <f t="shared" si="88"/>
        <v>0</v>
      </c>
      <c r="AL62" s="21">
        <v>21</v>
      </c>
      <c r="AM62" s="21">
        <f>G62*0.268268645</f>
        <v>0</v>
      </c>
      <c r="AN62" s="21">
        <f>G62*(1-0.268268645)</f>
        <v>0</v>
      </c>
      <c r="AO62" s="23" t="s">
        <v>80</v>
      </c>
      <c r="AT62" s="21">
        <f t="shared" si="89"/>
        <v>0</v>
      </c>
      <c r="AU62" s="21">
        <f t="shared" si="90"/>
        <v>0</v>
      </c>
      <c r="AV62" s="21">
        <f t="shared" si="91"/>
        <v>0</v>
      </c>
      <c r="AW62" s="23" t="s">
        <v>198</v>
      </c>
      <c r="AX62" s="23" t="s">
        <v>82</v>
      </c>
      <c r="AY62" s="12" t="s">
        <v>83</v>
      </c>
      <c r="BA62" s="21">
        <f t="shared" si="92"/>
        <v>0</v>
      </c>
      <c r="BB62" s="21">
        <f t="shared" si="93"/>
        <v>0</v>
      </c>
      <c r="BC62" s="21">
        <v>0</v>
      </c>
      <c r="BD62" s="21">
        <f t="shared" si="94"/>
        <v>3.7599999999999999E-3</v>
      </c>
      <c r="BF62" s="21">
        <f t="shared" si="95"/>
        <v>0</v>
      </c>
      <c r="BG62" s="21">
        <f t="shared" si="96"/>
        <v>0</v>
      </c>
      <c r="BH62" s="21">
        <f t="shared" si="97"/>
        <v>0</v>
      </c>
      <c r="BI62" s="23" t="s">
        <v>84</v>
      </c>
      <c r="BJ62" s="21">
        <v>7211</v>
      </c>
      <c r="BU62" s="21" t="e">
        <f>#REF!</f>
        <v>#REF!</v>
      </c>
      <c r="BV62" s="1" t="s">
        <v>202</v>
      </c>
    </row>
    <row r="63" spans="1:74" x14ac:dyDescent="0.25">
      <c r="A63" s="84"/>
      <c r="B63" s="135">
        <v>45</v>
      </c>
      <c r="C63" s="85" t="s">
        <v>203</v>
      </c>
      <c r="D63" s="136" t="s">
        <v>204</v>
      </c>
      <c r="E63" s="85" t="s">
        <v>78</v>
      </c>
      <c r="F63" s="137">
        <v>2</v>
      </c>
      <c r="G63" s="166">
        <v>0</v>
      </c>
      <c r="H63" s="137">
        <f t="shared" si="74"/>
        <v>0</v>
      </c>
      <c r="I63" s="137">
        <f t="shared" si="75"/>
        <v>0</v>
      </c>
      <c r="J63" s="138">
        <f t="shared" si="76"/>
        <v>0</v>
      </c>
      <c r="K63" s="139"/>
      <c r="L63" s="21">
        <v>1.5200000000000001E-3</v>
      </c>
      <c r="M63" s="21">
        <f t="shared" si="77"/>
        <v>3.0400000000000002E-3</v>
      </c>
      <c r="N63" s="22" t="s">
        <v>79</v>
      </c>
      <c r="X63" s="21">
        <f t="shared" si="78"/>
        <v>0</v>
      </c>
      <c r="Z63" s="21">
        <f t="shared" si="79"/>
        <v>0</v>
      </c>
      <c r="AA63" s="21">
        <f t="shared" si="80"/>
        <v>0</v>
      </c>
      <c r="AB63" s="21">
        <f t="shared" si="81"/>
        <v>0</v>
      </c>
      <c r="AC63" s="21">
        <f t="shared" si="82"/>
        <v>0</v>
      </c>
      <c r="AD63" s="21">
        <f t="shared" si="83"/>
        <v>0</v>
      </c>
      <c r="AE63" s="21">
        <f t="shared" si="84"/>
        <v>0</v>
      </c>
      <c r="AF63" s="21">
        <f t="shared" si="85"/>
        <v>0</v>
      </c>
      <c r="AG63" s="12" t="s">
        <v>3</v>
      </c>
      <c r="AH63" s="21">
        <f t="shared" si="86"/>
        <v>0</v>
      </c>
      <c r="AI63" s="21">
        <f t="shared" si="87"/>
        <v>0</v>
      </c>
      <c r="AJ63" s="21">
        <f t="shared" si="88"/>
        <v>0</v>
      </c>
      <c r="AL63" s="21">
        <v>21</v>
      </c>
      <c r="AM63" s="21">
        <f>G63*0.244082569</f>
        <v>0</v>
      </c>
      <c r="AN63" s="21">
        <f>G63*(1-0.244082569)</f>
        <v>0</v>
      </c>
      <c r="AO63" s="23" t="s">
        <v>80</v>
      </c>
      <c r="AT63" s="21">
        <f t="shared" si="89"/>
        <v>0</v>
      </c>
      <c r="AU63" s="21">
        <f t="shared" si="90"/>
        <v>0</v>
      </c>
      <c r="AV63" s="21">
        <f t="shared" si="91"/>
        <v>0</v>
      </c>
      <c r="AW63" s="23" t="s">
        <v>198</v>
      </c>
      <c r="AX63" s="23" t="s">
        <v>82</v>
      </c>
      <c r="AY63" s="12" t="s">
        <v>83</v>
      </c>
      <c r="BA63" s="21">
        <f t="shared" si="92"/>
        <v>0</v>
      </c>
      <c r="BB63" s="21">
        <f t="shared" si="93"/>
        <v>0</v>
      </c>
      <c r="BC63" s="21">
        <v>0</v>
      </c>
      <c r="BD63" s="21">
        <f t="shared" si="94"/>
        <v>3.0400000000000002E-3</v>
      </c>
      <c r="BF63" s="21">
        <f t="shared" si="95"/>
        <v>0</v>
      </c>
      <c r="BG63" s="21">
        <f t="shared" si="96"/>
        <v>0</v>
      </c>
      <c r="BH63" s="21">
        <f t="shared" si="97"/>
        <v>0</v>
      </c>
      <c r="BI63" s="23" t="s">
        <v>84</v>
      </c>
      <c r="BJ63" s="21">
        <v>7211</v>
      </c>
      <c r="BU63" s="21" t="e">
        <f>#REF!</f>
        <v>#REF!</v>
      </c>
      <c r="BV63" s="1" t="s">
        <v>204</v>
      </c>
    </row>
    <row r="64" spans="1:74" x14ac:dyDescent="0.25">
      <c r="A64" s="84"/>
      <c r="B64" s="135">
        <v>46</v>
      </c>
      <c r="C64" s="85" t="s">
        <v>205</v>
      </c>
      <c r="D64" s="136" t="s">
        <v>206</v>
      </c>
      <c r="E64" s="85" t="s">
        <v>78</v>
      </c>
      <c r="F64" s="137">
        <v>6</v>
      </c>
      <c r="G64" s="166">
        <v>0</v>
      </c>
      <c r="H64" s="137">
        <f t="shared" si="74"/>
        <v>0</v>
      </c>
      <c r="I64" s="137">
        <f t="shared" si="75"/>
        <v>0</v>
      </c>
      <c r="J64" s="138">
        <f t="shared" si="76"/>
        <v>0</v>
      </c>
      <c r="K64" s="139"/>
      <c r="L64" s="21">
        <v>8.7000000000000001E-4</v>
      </c>
      <c r="M64" s="21">
        <f t="shared" si="77"/>
        <v>5.2199999999999998E-3</v>
      </c>
      <c r="N64" s="22" t="s">
        <v>79</v>
      </c>
      <c r="X64" s="21">
        <f t="shared" si="78"/>
        <v>0</v>
      </c>
      <c r="Z64" s="21">
        <f t="shared" si="79"/>
        <v>0</v>
      </c>
      <c r="AA64" s="21">
        <f t="shared" si="80"/>
        <v>0</v>
      </c>
      <c r="AB64" s="21">
        <f t="shared" si="81"/>
        <v>0</v>
      </c>
      <c r="AC64" s="21">
        <f t="shared" si="82"/>
        <v>0</v>
      </c>
      <c r="AD64" s="21">
        <f t="shared" si="83"/>
        <v>0</v>
      </c>
      <c r="AE64" s="21">
        <f t="shared" si="84"/>
        <v>0</v>
      </c>
      <c r="AF64" s="21">
        <f t="shared" si="85"/>
        <v>0</v>
      </c>
      <c r="AG64" s="12" t="s">
        <v>3</v>
      </c>
      <c r="AH64" s="21">
        <f t="shared" si="86"/>
        <v>0</v>
      </c>
      <c r="AI64" s="21">
        <f t="shared" si="87"/>
        <v>0</v>
      </c>
      <c r="AJ64" s="21">
        <f t="shared" si="88"/>
        <v>0</v>
      </c>
      <c r="AL64" s="21">
        <v>21</v>
      </c>
      <c r="AM64" s="21">
        <f>G64*0.276552601</f>
        <v>0</v>
      </c>
      <c r="AN64" s="21">
        <f>G64*(1-0.276552601)</f>
        <v>0</v>
      </c>
      <c r="AO64" s="23" t="s">
        <v>80</v>
      </c>
      <c r="AT64" s="21">
        <f t="shared" si="89"/>
        <v>0</v>
      </c>
      <c r="AU64" s="21">
        <f t="shared" si="90"/>
        <v>0</v>
      </c>
      <c r="AV64" s="21">
        <f t="shared" si="91"/>
        <v>0</v>
      </c>
      <c r="AW64" s="23" t="s">
        <v>198</v>
      </c>
      <c r="AX64" s="23" t="s">
        <v>82</v>
      </c>
      <c r="AY64" s="12" t="s">
        <v>83</v>
      </c>
      <c r="BA64" s="21">
        <f t="shared" si="92"/>
        <v>0</v>
      </c>
      <c r="BB64" s="21">
        <f t="shared" si="93"/>
        <v>0</v>
      </c>
      <c r="BC64" s="21">
        <v>0</v>
      </c>
      <c r="BD64" s="21">
        <f t="shared" si="94"/>
        <v>5.2199999999999998E-3</v>
      </c>
      <c r="BF64" s="21">
        <f t="shared" si="95"/>
        <v>0</v>
      </c>
      <c r="BG64" s="21">
        <f t="shared" si="96"/>
        <v>0</v>
      </c>
      <c r="BH64" s="21">
        <f t="shared" si="97"/>
        <v>0</v>
      </c>
      <c r="BI64" s="23" t="s">
        <v>84</v>
      </c>
      <c r="BJ64" s="21">
        <v>7211</v>
      </c>
      <c r="BU64" s="21" t="e">
        <f>#REF!</f>
        <v>#REF!</v>
      </c>
      <c r="BV64" s="1" t="s">
        <v>206</v>
      </c>
    </row>
    <row r="65" spans="1:74" x14ac:dyDescent="0.25">
      <c r="A65" s="84"/>
      <c r="B65" s="135">
        <v>47</v>
      </c>
      <c r="C65" s="85" t="s">
        <v>207</v>
      </c>
      <c r="D65" s="136" t="s">
        <v>208</v>
      </c>
      <c r="E65" s="85" t="s">
        <v>78</v>
      </c>
      <c r="F65" s="137">
        <v>7.5</v>
      </c>
      <c r="G65" s="166">
        <v>0</v>
      </c>
      <c r="H65" s="137">
        <f t="shared" si="74"/>
        <v>0</v>
      </c>
      <c r="I65" s="137">
        <f t="shared" si="75"/>
        <v>0</v>
      </c>
      <c r="J65" s="138">
        <f t="shared" si="76"/>
        <v>0</v>
      </c>
      <c r="K65" s="139"/>
      <c r="L65" s="21">
        <v>1.4E-3</v>
      </c>
      <c r="M65" s="21">
        <f t="shared" si="77"/>
        <v>1.0500000000000001E-2</v>
      </c>
      <c r="N65" s="22" t="s">
        <v>79</v>
      </c>
      <c r="X65" s="21">
        <f t="shared" si="78"/>
        <v>0</v>
      </c>
      <c r="Z65" s="21">
        <f t="shared" si="79"/>
        <v>0</v>
      </c>
      <c r="AA65" s="21">
        <f t="shared" si="80"/>
        <v>0</v>
      </c>
      <c r="AB65" s="21">
        <f t="shared" si="81"/>
        <v>0</v>
      </c>
      <c r="AC65" s="21">
        <f t="shared" si="82"/>
        <v>0</v>
      </c>
      <c r="AD65" s="21">
        <f t="shared" si="83"/>
        <v>0</v>
      </c>
      <c r="AE65" s="21">
        <f t="shared" si="84"/>
        <v>0</v>
      </c>
      <c r="AF65" s="21">
        <f t="shared" si="85"/>
        <v>0</v>
      </c>
      <c r="AG65" s="12" t="s">
        <v>3</v>
      </c>
      <c r="AH65" s="21">
        <f t="shared" si="86"/>
        <v>0</v>
      </c>
      <c r="AI65" s="21">
        <f t="shared" si="87"/>
        <v>0</v>
      </c>
      <c r="AJ65" s="21">
        <f t="shared" si="88"/>
        <v>0</v>
      </c>
      <c r="AL65" s="21">
        <v>21</v>
      </c>
      <c r="AM65" s="21">
        <f>G65*0.349406286</f>
        <v>0</v>
      </c>
      <c r="AN65" s="21">
        <f>G65*(1-0.349406286)</f>
        <v>0</v>
      </c>
      <c r="AO65" s="23" t="s">
        <v>80</v>
      </c>
      <c r="AT65" s="21">
        <f t="shared" si="89"/>
        <v>0</v>
      </c>
      <c r="AU65" s="21">
        <f t="shared" si="90"/>
        <v>0</v>
      </c>
      <c r="AV65" s="21">
        <f t="shared" si="91"/>
        <v>0</v>
      </c>
      <c r="AW65" s="23" t="s">
        <v>198</v>
      </c>
      <c r="AX65" s="23" t="s">
        <v>82</v>
      </c>
      <c r="AY65" s="12" t="s">
        <v>83</v>
      </c>
      <c r="BA65" s="21">
        <f t="shared" si="92"/>
        <v>0</v>
      </c>
      <c r="BB65" s="21">
        <f t="shared" si="93"/>
        <v>0</v>
      </c>
      <c r="BC65" s="21">
        <v>0</v>
      </c>
      <c r="BD65" s="21">
        <f t="shared" si="94"/>
        <v>1.0500000000000001E-2</v>
      </c>
      <c r="BF65" s="21">
        <f t="shared" si="95"/>
        <v>0</v>
      </c>
      <c r="BG65" s="21">
        <f t="shared" si="96"/>
        <v>0</v>
      </c>
      <c r="BH65" s="21">
        <f t="shared" si="97"/>
        <v>0</v>
      </c>
      <c r="BI65" s="23" t="s">
        <v>84</v>
      </c>
      <c r="BJ65" s="21">
        <v>7211</v>
      </c>
      <c r="BU65" s="21" t="e">
        <f>#REF!</f>
        <v>#REF!</v>
      </c>
      <c r="BV65" s="1" t="s">
        <v>208</v>
      </c>
    </row>
    <row r="66" spans="1:74" x14ac:dyDescent="0.25">
      <c r="A66" s="84"/>
      <c r="B66" s="135">
        <v>48</v>
      </c>
      <c r="C66" s="85" t="s">
        <v>209</v>
      </c>
      <c r="D66" s="136" t="s">
        <v>210</v>
      </c>
      <c r="E66" s="85" t="s">
        <v>78</v>
      </c>
      <c r="F66" s="137">
        <v>6</v>
      </c>
      <c r="G66" s="166">
        <v>0</v>
      </c>
      <c r="H66" s="137">
        <f t="shared" si="74"/>
        <v>0</v>
      </c>
      <c r="I66" s="137">
        <f t="shared" si="75"/>
        <v>0</v>
      </c>
      <c r="J66" s="138">
        <f t="shared" si="76"/>
        <v>0</v>
      </c>
      <c r="K66" s="139"/>
      <c r="L66" s="21">
        <v>2.1000000000000001E-4</v>
      </c>
      <c r="M66" s="21">
        <f t="shared" si="77"/>
        <v>1.2600000000000001E-3</v>
      </c>
      <c r="N66" s="22" t="s">
        <v>79</v>
      </c>
      <c r="X66" s="21">
        <f t="shared" si="78"/>
        <v>0</v>
      </c>
      <c r="Z66" s="21">
        <f t="shared" si="79"/>
        <v>0</v>
      </c>
      <c r="AA66" s="21">
        <f t="shared" si="80"/>
        <v>0</v>
      </c>
      <c r="AB66" s="21">
        <f t="shared" si="81"/>
        <v>0</v>
      </c>
      <c r="AC66" s="21">
        <f t="shared" si="82"/>
        <v>0</v>
      </c>
      <c r="AD66" s="21">
        <f t="shared" si="83"/>
        <v>0</v>
      </c>
      <c r="AE66" s="21">
        <f t="shared" si="84"/>
        <v>0</v>
      </c>
      <c r="AF66" s="21">
        <f t="shared" si="85"/>
        <v>0</v>
      </c>
      <c r="AG66" s="12" t="s">
        <v>3</v>
      </c>
      <c r="AH66" s="21">
        <f t="shared" si="86"/>
        <v>0</v>
      </c>
      <c r="AI66" s="21">
        <f t="shared" si="87"/>
        <v>0</v>
      </c>
      <c r="AJ66" s="21">
        <f t="shared" si="88"/>
        <v>0</v>
      </c>
      <c r="AL66" s="21">
        <v>21</v>
      </c>
      <c r="AM66" s="21">
        <f>G66*0.343942993</f>
        <v>0</v>
      </c>
      <c r="AN66" s="21">
        <f>G66*(1-0.343942993)</f>
        <v>0</v>
      </c>
      <c r="AO66" s="23" t="s">
        <v>80</v>
      </c>
      <c r="AT66" s="21">
        <f t="shared" si="89"/>
        <v>0</v>
      </c>
      <c r="AU66" s="21">
        <f t="shared" si="90"/>
        <v>0</v>
      </c>
      <c r="AV66" s="21">
        <f t="shared" si="91"/>
        <v>0</v>
      </c>
      <c r="AW66" s="23" t="s">
        <v>198</v>
      </c>
      <c r="AX66" s="23" t="s">
        <v>82</v>
      </c>
      <c r="AY66" s="12" t="s">
        <v>83</v>
      </c>
      <c r="BA66" s="21">
        <f t="shared" si="92"/>
        <v>0</v>
      </c>
      <c r="BB66" s="21">
        <f t="shared" si="93"/>
        <v>0</v>
      </c>
      <c r="BC66" s="21">
        <v>0</v>
      </c>
      <c r="BD66" s="21">
        <f t="shared" si="94"/>
        <v>1.2600000000000001E-3</v>
      </c>
      <c r="BF66" s="21">
        <f t="shared" si="95"/>
        <v>0</v>
      </c>
      <c r="BG66" s="21">
        <f t="shared" si="96"/>
        <v>0</v>
      </c>
      <c r="BH66" s="21">
        <f t="shared" si="97"/>
        <v>0</v>
      </c>
      <c r="BI66" s="23" t="s">
        <v>84</v>
      </c>
      <c r="BJ66" s="21">
        <v>7211</v>
      </c>
      <c r="BU66" s="21" t="e">
        <f>#REF!</f>
        <v>#REF!</v>
      </c>
      <c r="BV66" s="1" t="s">
        <v>210</v>
      </c>
    </row>
    <row r="67" spans="1:74" ht="13.5" customHeight="1" x14ac:dyDescent="0.25">
      <c r="A67" s="84"/>
      <c r="B67" s="144"/>
      <c r="C67" s="145" t="s">
        <v>123</v>
      </c>
      <c r="D67" s="146" t="s">
        <v>211</v>
      </c>
      <c r="E67" s="147"/>
      <c r="F67" s="147"/>
      <c r="G67" s="168"/>
      <c r="H67" s="147"/>
      <c r="I67" s="147"/>
      <c r="J67" s="148"/>
      <c r="K67" s="149"/>
      <c r="L67" s="29"/>
      <c r="M67" s="29"/>
      <c r="N67" s="30"/>
    </row>
    <row r="68" spans="1:74" x14ac:dyDescent="0.25">
      <c r="A68" s="84"/>
      <c r="B68" s="135">
        <v>49</v>
      </c>
      <c r="C68" s="85" t="s">
        <v>212</v>
      </c>
      <c r="D68" s="136" t="s">
        <v>213</v>
      </c>
      <c r="E68" s="85" t="s">
        <v>78</v>
      </c>
      <c r="F68" s="137">
        <v>2</v>
      </c>
      <c r="G68" s="166">
        <v>0</v>
      </c>
      <c r="H68" s="137">
        <f>ROUND(F68*AM68,2)</f>
        <v>0</v>
      </c>
      <c r="I68" s="137">
        <f>ROUND(F68*AN68,2)</f>
        <v>0</v>
      </c>
      <c r="J68" s="138">
        <f>ROUND(F68*G68,2)</f>
        <v>0</v>
      </c>
      <c r="K68" s="139"/>
      <c r="L68" s="21">
        <v>4.0999999999999999E-4</v>
      </c>
      <c r="M68" s="21">
        <f>F68*L68</f>
        <v>8.1999999999999998E-4</v>
      </c>
      <c r="N68" s="22" t="s">
        <v>79</v>
      </c>
      <c r="X68" s="21">
        <f>ROUND(IF(AO68="5",BH68,0),2)</f>
        <v>0</v>
      </c>
      <c r="Z68" s="21">
        <f>ROUND(IF(AO68="1",BF68,0),2)</f>
        <v>0</v>
      </c>
      <c r="AA68" s="21">
        <f>ROUND(IF(AO68="1",BG68,0),2)</f>
        <v>0</v>
      </c>
      <c r="AB68" s="21">
        <f>ROUND(IF(AO68="7",BF68,0),2)</f>
        <v>0</v>
      </c>
      <c r="AC68" s="21">
        <f>ROUND(IF(AO68="7",BG68,0),2)</f>
        <v>0</v>
      </c>
      <c r="AD68" s="21">
        <f>ROUND(IF(AO68="2",BF68,0),2)</f>
        <v>0</v>
      </c>
      <c r="AE68" s="21">
        <f>ROUND(IF(AO68="2",BG68,0),2)</f>
        <v>0</v>
      </c>
      <c r="AF68" s="21">
        <f>ROUND(IF(AO68="0",BH68,0),2)</f>
        <v>0</v>
      </c>
      <c r="AG68" s="12" t="s">
        <v>3</v>
      </c>
      <c r="AH68" s="21">
        <f>IF(AL68=0,J68,0)</f>
        <v>0</v>
      </c>
      <c r="AI68" s="21">
        <f>IF(AL68=12,J68,0)</f>
        <v>0</v>
      </c>
      <c r="AJ68" s="21">
        <f>IF(AL68=21,J68,0)</f>
        <v>0</v>
      </c>
      <c r="AL68" s="21">
        <v>21</v>
      </c>
      <c r="AM68" s="21">
        <f>G68*0.419298893</f>
        <v>0</v>
      </c>
      <c r="AN68" s="21">
        <f>G68*(1-0.419298893)</f>
        <v>0</v>
      </c>
      <c r="AO68" s="23" t="s">
        <v>80</v>
      </c>
      <c r="AT68" s="21">
        <f>ROUND(AU68+AV68,2)</f>
        <v>0</v>
      </c>
      <c r="AU68" s="21">
        <f>ROUND(F68*AM68,2)</f>
        <v>0</v>
      </c>
      <c r="AV68" s="21">
        <f>ROUND(F68*AN68,2)</f>
        <v>0</v>
      </c>
      <c r="AW68" s="23" t="s">
        <v>198</v>
      </c>
      <c r="AX68" s="23" t="s">
        <v>82</v>
      </c>
      <c r="AY68" s="12" t="s">
        <v>83</v>
      </c>
      <c r="BA68" s="21">
        <f>AU68+AV68</f>
        <v>0</v>
      </c>
      <c r="BB68" s="21">
        <f>G68/(100-BC68)*100</f>
        <v>0</v>
      </c>
      <c r="BC68" s="21">
        <v>0</v>
      </c>
      <c r="BD68" s="21">
        <f>M68</f>
        <v>8.1999999999999998E-4</v>
      </c>
      <c r="BF68" s="21">
        <f>F68*AM68</f>
        <v>0</v>
      </c>
      <c r="BG68" s="21">
        <f>F68*AN68</f>
        <v>0</v>
      </c>
      <c r="BH68" s="21">
        <f>F68*G68</f>
        <v>0</v>
      </c>
      <c r="BI68" s="23" t="s">
        <v>84</v>
      </c>
      <c r="BJ68" s="21">
        <v>7211</v>
      </c>
      <c r="BU68" s="21" t="e">
        <f>#REF!</f>
        <v>#REF!</v>
      </c>
      <c r="BV68" s="1" t="s">
        <v>213</v>
      </c>
    </row>
    <row r="69" spans="1:74" ht="13.5" customHeight="1" x14ac:dyDescent="0.25">
      <c r="A69" s="84"/>
      <c r="B69" s="144"/>
      <c r="C69" s="145" t="s">
        <v>123</v>
      </c>
      <c r="D69" s="146" t="s">
        <v>214</v>
      </c>
      <c r="E69" s="147"/>
      <c r="F69" s="147"/>
      <c r="G69" s="168"/>
      <c r="H69" s="147"/>
      <c r="I69" s="147"/>
      <c r="J69" s="148"/>
      <c r="K69" s="149"/>
      <c r="L69" s="29"/>
      <c r="M69" s="29"/>
      <c r="N69" s="30"/>
    </row>
    <row r="70" spans="1:74" ht="15" customHeight="1" x14ac:dyDescent="0.25">
      <c r="A70" s="84"/>
      <c r="B70" s="135">
        <v>50</v>
      </c>
      <c r="C70" s="85" t="s">
        <v>215</v>
      </c>
      <c r="D70" s="136" t="s">
        <v>216</v>
      </c>
      <c r="E70" s="85" t="s">
        <v>78</v>
      </c>
      <c r="F70" s="137">
        <v>10</v>
      </c>
      <c r="G70" s="166">
        <v>0</v>
      </c>
      <c r="H70" s="137">
        <f>ROUND(F70*AM70,2)</f>
        <v>0</v>
      </c>
      <c r="I70" s="137">
        <f>ROUND(F70*AN70,2)</f>
        <v>0</v>
      </c>
      <c r="J70" s="138">
        <f>ROUND(F70*G70,2)</f>
        <v>0</v>
      </c>
      <c r="K70" s="139"/>
      <c r="L70" s="21">
        <v>1E-4</v>
      </c>
      <c r="M70" s="21">
        <f>F70*L70</f>
        <v>1E-3</v>
      </c>
      <c r="N70" s="22" t="s">
        <v>3</v>
      </c>
      <c r="X70" s="21">
        <f>ROUND(IF(AO70="5",BH70,0),2)</f>
        <v>0</v>
      </c>
      <c r="Z70" s="21">
        <f>ROUND(IF(AO70="1",BF70,0),2)</f>
        <v>0</v>
      </c>
      <c r="AA70" s="21">
        <f>ROUND(IF(AO70="1",BG70,0),2)</f>
        <v>0</v>
      </c>
      <c r="AB70" s="21">
        <f>ROUND(IF(AO70="7",BF70,0),2)</f>
        <v>0</v>
      </c>
      <c r="AC70" s="21">
        <f>ROUND(IF(AO70="7",BG70,0),2)</f>
        <v>0</v>
      </c>
      <c r="AD70" s="21">
        <f>ROUND(IF(AO70="2",BF70,0),2)</f>
        <v>0</v>
      </c>
      <c r="AE70" s="21">
        <f>ROUND(IF(AO70="2",BG70,0),2)</f>
        <v>0</v>
      </c>
      <c r="AF70" s="21">
        <f>ROUND(IF(AO70="0",BH70,0),2)</f>
        <v>0</v>
      </c>
      <c r="AG70" s="12" t="s">
        <v>3</v>
      </c>
      <c r="AH70" s="21">
        <f>IF(AL70=0,J70,0)</f>
        <v>0</v>
      </c>
      <c r="AI70" s="21">
        <f>IF(AL70=12,J70,0)</f>
        <v>0</v>
      </c>
      <c r="AJ70" s="21">
        <f>IF(AL70=21,J70,0)</f>
        <v>0</v>
      </c>
      <c r="AL70" s="21">
        <v>21</v>
      </c>
      <c r="AM70" s="21">
        <f>G70*0.251398417</f>
        <v>0</v>
      </c>
      <c r="AN70" s="21">
        <f>G70*(1-0.251398417)</f>
        <v>0</v>
      </c>
      <c r="AO70" s="23" t="s">
        <v>80</v>
      </c>
      <c r="AT70" s="21">
        <f>ROUND(AU70+AV70,2)</f>
        <v>0</v>
      </c>
      <c r="AU70" s="21">
        <f>ROUND(F70*AM70,2)</f>
        <v>0</v>
      </c>
      <c r="AV70" s="21">
        <f>ROUND(F70*AN70,2)</f>
        <v>0</v>
      </c>
      <c r="AW70" s="23" t="s">
        <v>198</v>
      </c>
      <c r="AX70" s="23" t="s">
        <v>82</v>
      </c>
      <c r="AY70" s="12" t="s">
        <v>83</v>
      </c>
      <c r="BA70" s="21">
        <f>AU70+AV70</f>
        <v>0</v>
      </c>
      <c r="BB70" s="21">
        <f>G70/(100-BC70)*100</f>
        <v>0</v>
      </c>
      <c r="BC70" s="21">
        <v>0</v>
      </c>
      <c r="BD70" s="21">
        <f>M70</f>
        <v>1E-3</v>
      </c>
      <c r="BF70" s="21">
        <f>F70*AM70</f>
        <v>0</v>
      </c>
      <c r="BG70" s="21">
        <f>F70*AN70</f>
        <v>0</v>
      </c>
      <c r="BH70" s="21">
        <f>F70*G70</f>
        <v>0</v>
      </c>
      <c r="BI70" s="23" t="s">
        <v>84</v>
      </c>
      <c r="BJ70" s="21">
        <v>7211</v>
      </c>
      <c r="BU70" s="21" t="e">
        <f>#REF!</f>
        <v>#REF!</v>
      </c>
      <c r="BV70" s="1" t="s">
        <v>216</v>
      </c>
    </row>
    <row r="71" spans="1:74" ht="13.5" customHeight="1" x14ac:dyDescent="0.25">
      <c r="A71" s="84"/>
      <c r="B71" s="144"/>
      <c r="C71" s="145" t="s">
        <v>123</v>
      </c>
      <c r="D71" s="146" t="s">
        <v>374</v>
      </c>
      <c r="E71" s="147"/>
      <c r="F71" s="147"/>
      <c r="G71" s="168"/>
      <c r="H71" s="147"/>
      <c r="I71" s="147"/>
      <c r="J71" s="148"/>
      <c r="K71" s="149"/>
      <c r="L71" s="29"/>
      <c r="M71" s="29"/>
      <c r="N71" s="30"/>
    </row>
    <row r="72" spans="1:74" ht="15" customHeight="1" x14ac:dyDescent="0.25">
      <c r="A72" s="84"/>
      <c r="B72" s="135">
        <v>51</v>
      </c>
      <c r="C72" s="85" t="s">
        <v>217</v>
      </c>
      <c r="D72" s="136" t="s">
        <v>218</v>
      </c>
      <c r="E72" s="85" t="s">
        <v>78</v>
      </c>
      <c r="F72" s="137">
        <v>6</v>
      </c>
      <c r="G72" s="166">
        <v>0</v>
      </c>
      <c r="H72" s="137">
        <f>ROUND(F72*AM72,2)</f>
        <v>0</v>
      </c>
      <c r="I72" s="137">
        <f>ROUND(F72*AN72,2)</f>
        <v>0</v>
      </c>
      <c r="J72" s="138">
        <f>ROUND(F72*G72,2)</f>
        <v>0</v>
      </c>
      <c r="K72" s="139"/>
      <c r="L72" s="21">
        <v>1.4999999999999999E-4</v>
      </c>
      <c r="M72" s="21">
        <f>F72*L72</f>
        <v>8.9999999999999998E-4</v>
      </c>
      <c r="N72" s="22" t="s">
        <v>3</v>
      </c>
      <c r="X72" s="21">
        <f>ROUND(IF(AO72="5",BH72,0),2)</f>
        <v>0</v>
      </c>
      <c r="Z72" s="21">
        <f>ROUND(IF(AO72="1",BF72,0),2)</f>
        <v>0</v>
      </c>
      <c r="AA72" s="21">
        <f>ROUND(IF(AO72="1",BG72,0),2)</f>
        <v>0</v>
      </c>
      <c r="AB72" s="21">
        <f>ROUND(IF(AO72="7",BF72,0),2)</f>
        <v>0</v>
      </c>
      <c r="AC72" s="21">
        <f>ROUND(IF(AO72="7",BG72,0),2)</f>
        <v>0</v>
      </c>
      <c r="AD72" s="21">
        <f>ROUND(IF(AO72="2",BF72,0),2)</f>
        <v>0</v>
      </c>
      <c r="AE72" s="21">
        <f>ROUND(IF(AO72="2",BG72,0),2)</f>
        <v>0</v>
      </c>
      <c r="AF72" s="21">
        <f>ROUND(IF(AO72="0",BH72,0),2)</f>
        <v>0</v>
      </c>
      <c r="AG72" s="12" t="s">
        <v>3</v>
      </c>
      <c r="AH72" s="21">
        <f>IF(AL72=0,J72,0)</f>
        <v>0</v>
      </c>
      <c r="AI72" s="21">
        <f>IF(AL72=12,J72,0)</f>
        <v>0</v>
      </c>
      <c r="AJ72" s="21">
        <f>IF(AL72=21,J72,0)</f>
        <v>0</v>
      </c>
      <c r="AL72" s="21">
        <v>21</v>
      </c>
      <c r="AM72" s="21">
        <f>G72*0.51726297</f>
        <v>0</v>
      </c>
      <c r="AN72" s="21">
        <f>G72*(1-0.51726297)</f>
        <v>0</v>
      </c>
      <c r="AO72" s="23" t="s">
        <v>80</v>
      </c>
      <c r="AT72" s="21">
        <f>ROUND(AU72+AV72,2)</f>
        <v>0</v>
      </c>
      <c r="AU72" s="21">
        <f>ROUND(F72*AM72,2)</f>
        <v>0</v>
      </c>
      <c r="AV72" s="21">
        <f>ROUND(F72*AN72,2)</f>
        <v>0</v>
      </c>
      <c r="AW72" s="23" t="s">
        <v>198</v>
      </c>
      <c r="AX72" s="23" t="s">
        <v>82</v>
      </c>
      <c r="AY72" s="12" t="s">
        <v>83</v>
      </c>
      <c r="BA72" s="21">
        <f>AU72+AV72</f>
        <v>0</v>
      </c>
      <c r="BB72" s="21">
        <f>G72/(100-BC72)*100</f>
        <v>0</v>
      </c>
      <c r="BC72" s="21">
        <v>0</v>
      </c>
      <c r="BD72" s="21">
        <f>M72</f>
        <v>8.9999999999999998E-4</v>
      </c>
      <c r="BF72" s="21">
        <f>F72*AM72</f>
        <v>0</v>
      </c>
      <c r="BG72" s="21">
        <f>F72*AN72</f>
        <v>0</v>
      </c>
      <c r="BH72" s="21">
        <f>F72*G72</f>
        <v>0</v>
      </c>
      <c r="BI72" s="23" t="s">
        <v>84</v>
      </c>
      <c r="BJ72" s="21">
        <v>7211</v>
      </c>
      <c r="BU72" s="21" t="e">
        <f>#REF!</f>
        <v>#REF!</v>
      </c>
      <c r="BV72" s="1" t="s">
        <v>218</v>
      </c>
    </row>
    <row r="73" spans="1:74" ht="13.5" customHeight="1" x14ac:dyDescent="0.25">
      <c r="A73" s="84"/>
      <c r="B73" s="144"/>
      <c r="C73" s="145" t="s">
        <v>123</v>
      </c>
      <c r="D73" s="146" t="s">
        <v>219</v>
      </c>
      <c r="E73" s="147"/>
      <c r="F73" s="147"/>
      <c r="G73" s="168"/>
      <c r="H73" s="147"/>
      <c r="I73" s="147"/>
      <c r="J73" s="148"/>
      <c r="K73" s="149"/>
      <c r="L73" s="29"/>
      <c r="M73" s="29"/>
      <c r="N73" s="30"/>
    </row>
    <row r="74" spans="1:74" ht="15" customHeight="1" x14ac:dyDescent="0.25">
      <c r="A74" s="84"/>
      <c r="B74" s="135">
        <v>52</v>
      </c>
      <c r="C74" s="85" t="s">
        <v>220</v>
      </c>
      <c r="D74" s="136" t="s">
        <v>221</v>
      </c>
      <c r="E74" s="85" t="s">
        <v>78</v>
      </c>
      <c r="F74" s="137">
        <v>4</v>
      </c>
      <c r="G74" s="166">
        <v>0</v>
      </c>
      <c r="H74" s="137">
        <f>ROUND(F74*AM74,2)</f>
        <v>0</v>
      </c>
      <c r="I74" s="137">
        <f>ROUND(F74*AN74,2)</f>
        <v>0</v>
      </c>
      <c r="J74" s="138">
        <f>ROUND(F74*G74,2)</f>
        <v>0</v>
      </c>
      <c r="K74" s="139"/>
      <c r="L74" s="21">
        <v>1.4999999999999999E-4</v>
      </c>
      <c r="M74" s="21">
        <f>F74*L74</f>
        <v>5.9999999999999995E-4</v>
      </c>
      <c r="N74" s="22" t="s">
        <v>3</v>
      </c>
      <c r="X74" s="21">
        <f>ROUND(IF(AO74="5",BH74,0),2)</f>
        <v>0</v>
      </c>
      <c r="Z74" s="21">
        <f>ROUND(IF(AO74="1",BF74,0),2)</f>
        <v>0</v>
      </c>
      <c r="AA74" s="21">
        <f>ROUND(IF(AO74="1",BG74,0),2)</f>
        <v>0</v>
      </c>
      <c r="AB74" s="21">
        <f>ROUND(IF(AO74="7",BF74,0),2)</f>
        <v>0</v>
      </c>
      <c r="AC74" s="21">
        <f>ROUND(IF(AO74="7",BG74,0),2)</f>
        <v>0</v>
      </c>
      <c r="AD74" s="21">
        <f>ROUND(IF(AO74="2",BF74,0),2)</f>
        <v>0</v>
      </c>
      <c r="AE74" s="21">
        <f>ROUND(IF(AO74="2",BG74,0),2)</f>
        <v>0</v>
      </c>
      <c r="AF74" s="21">
        <f>ROUND(IF(AO74="0",BH74,0),2)</f>
        <v>0</v>
      </c>
      <c r="AG74" s="12" t="s">
        <v>3</v>
      </c>
      <c r="AH74" s="21">
        <f>IF(AL74=0,J74,0)</f>
        <v>0</v>
      </c>
      <c r="AI74" s="21">
        <f>IF(AL74=12,J74,0)</f>
        <v>0</v>
      </c>
      <c r="AJ74" s="21">
        <f>IF(AL74=21,J74,0)</f>
        <v>0</v>
      </c>
      <c r="AL74" s="21">
        <v>21</v>
      </c>
      <c r="AM74" s="21">
        <f>G74*0.517300435</f>
        <v>0</v>
      </c>
      <c r="AN74" s="21">
        <f>G74*(1-0.517300435)</f>
        <v>0</v>
      </c>
      <c r="AO74" s="23" t="s">
        <v>80</v>
      </c>
      <c r="AT74" s="21">
        <f>ROUND(AU74+AV74,2)</f>
        <v>0</v>
      </c>
      <c r="AU74" s="21">
        <f>ROUND(F74*AM74,2)</f>
        <v>0</v>
      </c>
      <c r="AV74" s="21">
        <f>ROUND(F74*AN74,2)</f>
        <v>0</v>
      </c>
      <c r="AW74" s="23" t="s">
        <v>198</v>
      </c>
      <c r="AX74" s="23" t="s">
        <v>82</v>
      </c>
      <c r="AY74" s="12" t="s">
        <v>83</v>
      </c>
      <c r="BA74" s="21">
        <f>AU74+AV74</f>
        <v>0</v>
      </c>
      <c r="BB74" s="21">
        <f>G74/(100-BC74)*100</f>
        <v>0</v>
      </c>
      <c r="BC74" s="21">
        <v>0</v>
      </c>
      <c r="BD74" s="21">
        <f>M74</f>
        <v>5.9999999999999995E-4</v>
      </c>
      <c r="BF74" s="21">
        <f>F74*AM74</f>
        <v>0</v>
      </c>
      <c r="BG74" s="21">
        <f>F74*AN74</f>
        <v>0</v>
      </c>
      <c r="BH74" s="21">
        <f>F74*G74</f>
        <v>0</v>
      </c>
      <c r="BI74" s="23" t="s">
        <v>84</v>
      </c>
      <c r="BJ74" s="21">
        <v>7211</v>
      </c>
      <c r="BU74" s="21" t="e">
        <f>#REF!</f>
        <v>#REF!</v>
      </c>
      <c r="BV74" s="1" t="s">
        <v>221</v>
      </c>
    </row>
    <row r="75" spans="1:74" ht="13.5" customHeight="1" x14ac:dyDescent="0.25">
      <c r="A75" s="84"/>
      <c r="B75" s="144"/>
      <c r="C75" s="145" t="s">
        <v>123</v>
      </c>
      <c r="D75" s="146" t="s">
        <v>222</v>
      </c>
      <c r="E75" s="147"/>
      <c r="F75" s="147"/>
      <c r="G75" s="168"/>
      <c r="H75" s="147"/>
      <c r="I75" s="147"/>
      <c r="J75" s="148"/>
      <c r="K75" s="149"/>
      <c r="L75" s="29"/>
      <c r="M75" s="29"/>
      <c r="N75" s="30"/>
    </row>
    <row r="76" spans="1:74" ht="15" customHeight="1" x14ac:dyDescent="0.25">
      <c r="A76" s="84"/>
      <c r="B76" s="135">
        <v>53</v>
      </c>
      <c r="C76" s="85" t="s">
        <v>223</v>
      </c>
      <c r="D76" s="136" t="s">
        <v>224</v>
      </c>
      <c r="E76" s="85" t="s">
        <v>78</v>
      </c>
      <c r="F76" s="137">
        <v>10</v>
      </c>
      <c r="G76" s="166">
        <v>0</v>
      </c>
      <c r="H76" s="137">
        <f>ROUND(F76*AM76,2)</f>
        <v>0</v>
      </c>
      <c r="I76" s="137">
        <f>ROUND(F76*AN76,2)</f>
        <v>0</v>
      </c>
      <c r="J76" s="138">
        <f>ROUND(F76*G76,2)</f>
        <v>0</v>
      </c>
      <c r="K76" s="139"/>
      <c r="L76" s="21">
        <v>0</v>
      </c>
      <c r="M76" s="21">
        <f>F76*L76</f>
        <v>0</v>
      </c>
      <c r="N76" s="22" t="s">
        <v>79</v>
      </c>
      <c r="X76" s="21">
        <f>ROUND(IF(AO76="5",BH76,0),2)</f>
        <v>0</v>
      </c>
      <c r="Z76" s="21">
        <f>ROUND(IF(AO76="1",BF76,0),2)</f>
        <v>0</v>
      </c>
      <c r="AA76" s="21">
        <f>ROUND(IF(AO76="1",BG76,0),2)</f>
        <v>0</v>
      </c>
      <c r="AB76" s="21">
        <f>ROUND(IF(AO76="7",BF76,0),2)</f>
        <v>0</v>
      </c>
      <c r="AC76" s="21">
        <f>ROUND(IF(AO76="7",BG76,0),2)</f>
        <v>0</v>
      </c>
      <c r="AD76" s="21">
        <f>ROUND(IF(AO76="2",BF76,0),2)</f>
        <v>0</v>
      </c>
      <c r="AE76" s="21">
        <f>ROUND(IF(AO76="2",BG76,0),2)</f>
        <v>0</v>
      </c>
      <c r="AF76" s="21">
        <f>ROUND(IF(AO76="0",BH76,0),2)</f>
        <v>0</v>
      </c>
      <c r="AG76" s="12" t="s">
        <v>3</v>
      </c>
      <c r="AH76" s="21">
        <f>IF(AL76=0,J76,0)</f>
        <v>0</v>
      </c>
      <c r="AI76" s="21">
        <f>IF(AL76=12,J76,0)</f>
        <v>0</v>
      </c>
      <c r="AJ76" s="21">
        <f>IF(AL76=21,J76,0)</f>
        <v>0</v>
      </c>
      <c r="AL76" s="21">
        <v>21</v>
      </c>
      <c r="AM76" s="21">
        <f>G76*0</f>
        <v>0</v>
      </c>
      <c r="AN76" s="21">
        <f>G76*(1-0)</f>
        <v>0</v>
      </c>
      <c r="AO76" s="23" t="s">
        <v>80</v>
      </c>
      <c r="AT76" s="21">
        <f>ROUND(AU76+AV76,2)</f>
        <v>0</v>
      </c>
      <c r="AU76" s="21">
        <f>ROUND(F76*AM76,2)</f>
        <v>0</v>
      </c>
      <c r="AV76" s="21">
        <f>ROUND(F76*AN76,2)</f>
        <v>0</v>
      </c>
      <c r="AW76" s="23" t="s">
        <v>198</v>
      </c>
      <c r="AX76" s="23" t="s">
        <v>82</v>
      </c>
      <c r="AY76" s="12" t="s">
        <v>83</v>
      </c>
      <c r="BA76" s="21">
        <f>AU76+AV76</f>
        <v>0</v>
      </c>
      <c r="BB76" s="21">
        <f>G76/(100-BC76)*100</f>
        <v>0</v>
      </c>
      <c r="BC76" s="21">
        <v>0</v>
      </c>
      <c r="BD76" s="21">
        <f>M76</f>
        <v>0</v>
      </c>
      <c r="BF76" s="21">
        <f>F76*AM76</f>
        <v>0</v>
      </c>
      <c r="BG76" s="21">
        <f>F76*AN76</f>
        <v>0</v>
      </c>
      <c r="BH76" s="21">
        <f>F76*G76</f>
        <v>0</v>
      </c>
      <c r="BI76" s="23" t="s">
        <v>84</v>
      </c>
      <c r="BJ76" s="21">
        <v>7211</v>
      </c>
      <c r="BU76" s="21" t="e">
        <f>#REF!</f>
        <v>#REF!</v>
      </c>
      <c r="BV76" s="28" t="s">
        <v>224</v>
      </c>
    </row>
    <row r="77" spans="1:74" ht="13.5" customHeight="1" x14ac:dyDescent="0.25">
      <c r="A77" s="84"/>
      <c r="B77" s="144"/>
      <c r="C77" s="145" t="s">
        <v>123</v>
      </c>
      <c r="D77" s="146" t="s">
        <v>225</v>
      </c>
      <c r="E77" s="147"/>
      <c r="F77" s="147"/>
      <c r="G77" s="168"/>
      <c r="H77" s="147"/>
      <c r="I77" s="147"/>
      <c r="J77" s="148"/>
      <c r="K77" s="149"/>
      <c r="L77" s="29"/>
      <c r="M77" s="29"/>
      <c r="N77" s="30"/>
    </row>
    <row r="78" spans="1:74" ht="15" customHeight="1" x14ac:dyDescent="0.25">
      <c r="A78" s="84"/>
      <c r="B78" s="135">
        <v>54</v>
      </c>
      <c r="C78" s="85" t="s">
        <v>226</v>
      </c>
      <c r="D78" s="136" t="s">
        <v>227</v>
      </c>
      <c r="E78" s="85" t="s">
        <v>122</v>
      </c>
      <c r="F78" s="137">
        <v>2</v>
      </c>
      <c r="G78" s="166">
        <v>0</v>
      </c>
      <c r="H78" s="137">
        <f t="shared" ref="H78:H83" si="98">ROUND(F78*AM78,2)</f>
        <v>0</v>
      </c>
      <c r="I78" s="137">
        <f t="shared" ref="I78:I83" si="99">ROUND(F78*AN78,2)</f>
        <v>0</v>
      </c>
      <c r="J78" s="138">
        <f t="shared" ref="J78:J83" si="100">ROUND(F78*G78,2)</f>
        <v>0</v>
      </c>
      <c r="K78" s="139"/>
      <c r="L78" s="21">
        <v>8.1999999999999998E-4</v>
      </c>
      <c r="M78" s="21">
        <f t="shared" ref="M78:M83" si="101">F78*L78</f>
        <v>1.64E-3</v>
      </c>
      <c r="N78" s="22" t="s">
        <v>3</v>
      </c>
      <c r="X78" s="21">
        <f t="shared" ref="X78:X83" si="102">ROUND(IF(AO78="5",BH78,0),2)</f>
        <v>0</v>
      </c>
      <c r="Z78" s="21">
        <f t="shared" ref="Z78:Z83" si="103">ROUND(IF(AO78="1",BF78,0),2)</f>
        <v>0</v>
      </c>
      <c r="AA78" s="21">
        <f t="shared" ref="AA78:AA83" si="104">ROUND(IF(AO78="1",BG78,0),2)</f>
        <v>0</v>
      </c>
      <c r="AB78" s="21">
        <f t="shared" ref="AB78:AB83" si="105">ROUND(IF(AO78="7",BF78,0),2)</f>
        <v>0</v>
      </c>
      <c r="AC78" s="21">
        <f t="shared" ref="AC78:AC83" si="106">ROUND(IF(AO78="7",BG78,0),2)</f>
        <v>0</v>
      </c>
      <c r="AD78" s="21">
        <f t="shared" ref="AD78:AD83" si="107">ROUND(IF(AO78="2",BF78,0),2)</f>
        <v>0</v>
      </c>
      <c r="AE78" s="21">
        <f t="shared" ref="AE78:AE83" si="108">ROUND(IF(AO78="2",BG78,0),2)</f>
        <v>0</v>
      </c>
      <c r="AF78" s="21">
        <f t="shared" ref="AF78:AF83" si="109">ROUND(IF(AO78="0",BH78,0),2)</f>
        <v>0</v>
      </c>
      <c r="AG78" s="12" t="s">
        <v>3</v>
      </c>
      <c r="AH78" s="21">
        <f t="shared" ref="AH78:AH83" si="110">IF(AL78=0,J78,0)</f>
        <v>0</v>
      </c>
      <c r="AI78" s="21">
        <f t="shared" ref="AI78:AI83" si="111">IF(AL78=12,J78,0)</f>
        <v>0</v>
      </c>
      <c r="AJ78" s="21">
        <f t="shared" ref="AJ78:AJ83" si="112">IF(AL78=21,J78,0)</f>
        <v>0</v>
      </c>
      <c r="AL78" s="21">
        <v>21</v>
      </c>
      <c r="AM78" s="21">
        <f>G78*0.922242744</f>
        <v>0</v>
      </c>
      <c r="AN78" s="21">
        <f>G78*(1-0.922242744)</f>
        <v>0</v>
      </c>
      <c r="AO78" s="23" t="s">
        <v>80</v>
      </c>
      <c r="AT78" s="21">
        <f t="shared" ref="AT78:AT83" si="113">ROUND(AU78+AV78,2)</f>
        <v>0</v>
      </c>
      <c r="AU78" s="21">
        <f t="shared" ref="AU78:AU83" si="114">ROUND(F78*AM78,2)</f>
        <v>0</v>
      </c>
      <c r="AV78" s="21">
        <f t="shared" ref="AV78:AV83" si="115">ROUND(F78*AN78,2)</f>
        <v>0</v>
      </c>
      <c r="AW78" s="23" t="s">
        <v>198</v>
      </c>
      <c r="AX78" s="23" t="s">
        <v>82</v>
      </c>
      <c r="AY78" s="12" t="s">
        <v>83</v>
      </c>
      <c r="BA78" s="21">
        <f t="shared" ref="BA78:BA83" si="116">AU78+AV78</f>
        <v>0</v>
      </c>
      <c r="BB78" s="21">
        <f t="shared" ref="BB78:BB83" si="117">G78/(100-BC78)*100</f>
        <v>0</v>
      </c>
      <c r="BC78" s="21">
        <v>0</v>
      </c>
      <c r="BD78" s="21">
        <f t="shared" ref="BD78:BD83" si="118">M78</f>
        <v>1.64E-3</v>
      </c>
      <c r="BF78" s="21">
        <f t="shared" ref="BF78:BF83" si="119">F78*AM78</f>
        <v>0</v>
      </c>
      <c r="BG78" s="21">
        <f t="shared" ref="BG78:BG83" si="120">F78*AN78</f>
        <v>0</v>
      </c>
      <c r="BH78" s="21">
        <f t="shared" ref="BH78:BH83" si="121">F78*G78</f>
        <v>0</v>
      </c>
      <c r="BI78" s="23" t="s">
        <v>84</v>
      </c>
      <c r="BJ78" s="21">
        <v>7211</v>
      </c>
      <c r="BU78" s="21" t="e">
        <f>#REF!</f>
        <v>#REF!</v>
      </c>
      <c r="BV78" s="28" t="s">
        <v>227</v>
      </c>
    </row>
    <row r="79" spans="1:74" ht="15" customHeight="1" x14ac:dyDescent="0.25">
      <c r="A79" s="84"/>
      <c r="B79" s="135">
        <v>55</v>
      </c>
      <c r="C79" s="85" t="s">
        <v>228</v>
      </c>
      <c r="D79" s="136" t="s">
        <v>229</v>
      </c>
      <c r="E79" s="85" t="s">
        <v>78</v>
      </c>
      <c r="F79" s="137">
        <v>10</v>
      </c>
      <c r="G79" s="166">
        <v>0</v>
      </c>
      <c r="H79" s="137">
        <f t="shared" si="98"/>
        <v>0</v>
      </c>
      <c r="I79" s="137">
        <f t="shared" si="99"/>
        <v>0</v>
      </c>
      <c r="J79" s="138">
        <f t="shared" si="100"/>
        <v>0</v>
      </c>
      <c r="K79" s="139"/>
      <c r="L79" s="21">
        <v>1.4400000000000001E-3</v>
      </c>
      <c r="M79" s="21">
        <f t="shared" si="101"/>
        <v>1.4400000000000001E-2</v>
      </c>
      <c r="N79" s="22" t="s">
        <v>79</v>
      </c>
      <c r="X79" s="21">
        <f t="shared" si="102"/>
        <v>0</v>
      </c>
      <c r="Z79" s="21">
        <f t="shared" si="103"/>
        <v>0</v>
      </c>
      <c r="AA79" s="21">
        <f t="shared" si="104"/>
        <v>0</v>
      </c>
      <c r="AB79" s="21">
        <f t="shared" si="105"/>
        <v>0</v>
      </c>
      <c r="AC79" s="21">
        <f t="shared" si="106"/>
        <v>0</v>
      </c>
      <c r="AD79" s="21">
        <f t="shared" si="107"/>
        <v>0</v>
      </c>
      <c r="AE79" s="21">
        <f t="shared" si="108"/>
        <v>0</v>
      </c>
      <c r="AF79" s="21">
        <f t="shared" si="109"/>
        <v>0</v>
      </c>
      <c r="AG79" s="12" t="s">
        <v>3</v>
      </c>
      <c r="AH79" s="21">
        <f t="shared" si="110"/>
        <v>0</v>
      </c>
      <c r="AI79" s="21">
        <f t="shared" si="111"/>
        <v>0</v>
      </c>
      <c r="AJ79" s="21">
        <f t="shared" si="112"/>
        <v>0</v>
      </c>
      <c r="AL79" s="21">
        <v>21</v>
      </c>
      <c r="AM79" s="21">
        <f>G79*0.338303887</f>
        <v>0</v>
      </c>
      <c r="AN79" s="21">
        <f>G79*(1-0.338303887)</f>
        <v>0</v>
      </c>
      <c r="AO79" s="23" t="s">
        <v>80</v>
      </c>
      <c r="AT79" s="21">
        <f t="shared" si="113"/>
        <v>0</v>
      </c>
      <c r="AU79" s="21">
        <f t="shared" si="114"/>
        <v>0</v>
      </c>
      <c r="AV79" s="21">
        <f t="shared" si="115"/>
        <v>0</v>
      </c>
      <c r="AW79" s="23" t="s">
        <v>198</v>
      </c>
      <c r="AX79" s="23" t="s">
        <v>82</v>
      </c>
      <c r="AY79" s="12" t="s">
        <v>83</v>
      </c>
      <c r="BA79" s="21">
        <f t="shared" si="116"/>
        <v>0</v>
      </c>
      <c r="BB79" s="21">
        <f t="shared" si="117"/>
        <v>0</v>
      </c>
      <c r="BC79" s="21">
        <v>0</v>
      </c>
      <c r="BD79" s="21">
        <f t="shared" si="118"/>
        <v>1.4400000000000001E-2</v>
      </c>
      <c r="BF79" s="21">
        <f t="shared" si="119"/>
        <v>0</v>
      </c>
      <c r="BG79" s="21">
        <f t="shared" si="120"/>
        <v>0</v>
      </c>
      <c r="BH79" s="21">
        <f t="shared" si="121"/>
        <v>0</v>
      </c>
      <c r="BI79" s="23" t="s">
        <v>84</v>
      </c>
      <c r="BJ79" s="21">
        <v>7211</v>
      </c>
      <c r="BU79" s="21" t="e">
        <f>#REF!</f>
        <v>#REF!</v>
      </c>
      <c r="BV79" s="1" t="s">
        <v>229</v>
      </c>
    </row>
    <row r="80" spans="1:74" ht="15" customHeight="1" x14ac:dyDescent="0.25">
      <c r="A80" s="84"/>
      <c r="B80" s="135">
        <v>56</v>
      </c>
      <c r="C80" s="85" t="s">
        <v>231</v>
      </c>
      <c r="D80" s="136" t="s">
        <v>232</v>
      </c>
      <c r="E80" s="85" t="s">
        <v>78</v>
      </c>
      <c r="F80" s="137">
        <v>12</v>
      </c>
      <c r="G80" s="166">
        <v>0</v>
      </c>
      <c r="H80" s="137">
        <f t="shared" si="98"/>
        <v>0</v>
      </c>
      <c r="I80" s="137">
        <f t="shared" si="99"/>
        <v>0</v>
      </c>
      <c r="J80" s="138">
        <f t="shared" si="100"/>
        <v>0</v>
      </c>
      <c r="K80" s="139"/>
      <c r="L80" s="21">
        <v>1.8799999999999999E-3</v>
      </c>
      <c r="M80" s="21">
        <f t="shared" si="101"/>
        <v>2.256E-2</v>
      </c>
      <c r="N80" s="22" t="s">
        <v>79</v>
      </c>
      <c r="X80" s="21">
        <f t="shared" si="102"/>
        <v>0</v>
      </c>
      <c r="Z80" s="21">
        <f t="shared" si="103"/>
        <v>0</v>
      </c>
      <c r="AA80" s="21">
        <f t="shared" si="104"/>
        <v>0</v>
      </c>
      <c r="AB80" s="21">
        <f t="shared" si="105"/>
        <v>0</v>
      </c>
      <c r="AC80" s="21">
        <f t="shared" si="106"/>
        <v>0</v>
      </c>
      <c r="AD80" s="21">
        <f t="shared" si="107"/>
        <v>0</v>
      </c>
      <c r="AE80" s="21">
        <f t="shared" si="108"/>
        <v>0</v>
      </c>
      <c r="AF80" s="21">
        <f t="shared" si="109"/>
        <v>0</v>
      </c>
      <c r="AG80" s="12" t="s">
        <v>3</v>
      </c>
      <c r="AH80" s="21">
        <f t="shared" si="110"/>
        <v>0</v>
      </c>
      <c r="AI80" s="21">
        <f t="shared" si="111"/>
        <v>0</v>
      </c>
      <c r="AJ80" s="21">
        <f t="shared" si="112"/>
        <v>0</v>
      </c>
      <c r="AL80" s="21">
        <v>21</v>
      </c>
      <c r="AM80" s="21">
        <f>G80*0.571487414</f>
        <v>0</v>
      </c>
      <c r="AN80" s="21">
        <f>G80*(1-0.571487414)</f>
        <v>0</v>
      </c>
      <c r="AO80" s="23" t="s">
        <v>80</v>
      </c>
      <c r="AT80" s="21">
        <f t="shared" si="113"/>
        <v>0</v>
      </c>
      <c r="AU80" s="21">
        <f t="shared" si="114"/>
        <v>0</v>
      </c>
      <c r="AV80" s="21">
        <f t="shared" si="115"/>
        <v>0</v>
      </c>
      <c r="AW80" s="23" t="s">
        <v>198</v>
      </c>
      <c r="AX80" s="23" t="s">
        <v>82</v>
      </c>
      <c r="AY80" s="12" t="s">
        <v>83</v>
      </c>
      <c r="BA80" s="21">
        <f t="shared" si="116"/>
        <v>0</v>
      </c>
      <c r="BB80" s="21">
        <f t="shared" si="117"/>
        <v>0</v>
      </c>
      <c r="BC80" s="21">
        <v>0</v>
      </c>
      <c r="BD80" s="21">
        <f t="shared" si="118"/>
        <v>2.256E-2</v>
      </c>
      <c r="BF80" s="21">
        <f t="shared" si="119"/>
        <v>0</v>
      </c>
      <c r="BG80" s="21">
        <f t="shared" si="120"/>
        <v>0</v>
      </c>
      <c r="BH80" s="21">
        <f t="shared" si="121"/>
        <v>0</v>
      </c>
      <c r="BI80" s="23" t="s">
        <v>84</v>
      </c>
      <c r="BJ80" s="21">
        <v>7211</v>
      </c>
      <c r="BU80" s="21" t="e">
        <f>#REF!</f>
        <v>#REF!</v>
      </c>
      <c r="BV80" s="1" t="s">
        <v>232</v>
      </c>
    </row>
    <row r="81" spans="1:74" ht="15" customHeight="1" x14ac:dyDescent="0.25">
      <c r="A81" s="84"/>
      <c r="B81" s="135">
        <v>57</v>
      </c>
      <c r="C81" s="85" t="s">
        <v>233</v>
      </c>
      <c r="D81" s="136" t="s">
        <v>234</v>
      </c>
      <c r="E81" s="85" t="s">
        <v>78</v>
      </c>
      <c r="F81" s="137">
        <v>22</v>
      </c>
      <c r="G81" s="166">
        <v>0</v>
      </c>
      <c r="H81" s="137">
        <f t="shared" si="98"/>
        <v>0</v>
      </c>
      <c r="I81" s="137">
        <f t="shared" si="99"/>
        <v>0</v>
      </c>
      <c r="J81" s="138">
        <f t="shared" si="100"/>
        <v>0</v>
      </c>
      <c r="K81" s="139"/>
      <c r="L81" s="21">
        <v>2.0999999999999999E-3</v>
      </c>
      <c r="M81" s="21">
        <f t="shared" si="101"/>
        <v>4.6199999999999998E-2</v>
      </c>
      <c r="N81" s="22" t="s">
        <v>79</v>
      </c>
      <c r="X81" s="21">
        <f t="shared" si="102"/>
        <v>0</v>
      </c>
      <c r="Z81" s="21">
        <f t="shared" si="103"/>
        <v>0</v>
      </c>
      <c r="AA81" s="21">
        <f t="shared" si="104"/>
        <v>0</v>
      </c>
      <c r="AB81" s="21">
        <f t="shared" si="105"/>
        <v>0</v>
      </c>
      <c r="AC81" s="21">
        <f t="shared" si="106"/>
        <v>0</v>
      </c>
      <c r="AD81" s="21">
        <f t="shared" si="107"/>
        <v>0</v>
      </c>
      <c r="AE81" s="21">
        <f t="shared" si="108"/>
        <v>0</v>
      </c>
      <c r="AF81" s="21">
        <f t="shared" si="109"/>
        <v>0</v>
      </c>
      <c r="AG81" s="12" t="s">
        <v>3</v>
      </c>
      <c r="AH81" s="21">
        <f t="shared" si="110"/>
        <v>0</v>
      </c>
      <c r="AI81" s="21">
        <f t="shared" si="111"/>
        <v>0</v>
      </c>
      <c r="AJ81" s="21">
        <f t="shared" si="112"/>
        <v>0</v>
      </c>
      <c r="AL81" s="21">
        <v>21</v>
      </c>
      <c r="AM81" s="21">
        <f>G81*0.342947368</f>
        <v>0</v>
      </c>
      <c r="AN81" s="21">
        <f>G81*(1-0.342947368)</f>
        <v>0</v>
      </c>
      <c r="AO81" s="23" t="s">
        <v>80</v>
      </c>
      <c r="AT81" s="21">
        <f t="shared" si="113"/>
        <v>0</v>
      </c>
      <c r="AU81" s="21">
        <f t="shared" si="114"/>
        <v>0</v>
      </c>
      <c r="AV81" s="21">
        <f t="shared" si="115"/>
        <v>0</v>
      </c>
      <c r="AW81" s="23" t="s">
        <v>198</v>
      </c>
      <c r="AX81" s="23" t="s">
        <v>82</v>
      </c>
      <c r="AY81" s="12" t="s">
        <v>83</v>
      </c>
      <c r="BA81" s="21">
        <f t="shared" si="116"/>
        <v>0</v>
      </c>
      <c r="BB81" s="21">
        <f t="shared" si="117"/>
        <v>0</v>
      </c>
      <c r="BC81" s="21">
        <v>0</v>
      </c>
      <c r="BD81" s="21">
        <f t="shared" si="118"/>
        <v>4.6199999999999998E-2</v>
      </c>
      <c r="BF81" s="21">
        <f t="shared" si="119"/>
        <v>0</v>
      </c>
      <c r="BG81" s="21">
        <f t="shared" si="120"/>
        <v>0</v>
      </c>
      <c r="BH81" s="21">
        <f t="shared" si="121"/>
        <v>0</v>
      </c>
      <c r="BI81" s="23" t="s">
        <v>84</v>
      </c>
      <c r="BJ81" s="21">
        <v>7211</v>
      </c>
      <c r="BU81" s="21" t="e">
        <f>#REF!</f>
        <v>#REF!</v>
      </c>
      <c r="BV81" s="1" t="s">
        <v>234</v>
      </c>
    </row>
    <row r="82" spans="1:74" ht="15" customHeight="1" x14ac:dyDescent="0.25">
      <c r="A82" s="84"/>
      <c r="B82" s="135">
        <v>58</v>
      </c>
      <c r="C82" s="85" t="s">
        <v>235</v>
      </c>
      <c r="D82" s="136" t="s">
        <v>236</v>
      </c>
      <c r="E82" s="85" t="s">
        <v>78</v>
      </c>
      <c r="F82" s="137">
        <v>2</v>
      </c>
      <c r="G82" s="166">
        <v>0</v>
      </c>
      <c r="H82" s="137">
        <f t="shared" si="98"/>
        <v>0</v>
      </c>
      <c r="I82" s="137">
        <f t="shared" si="99"/>
        <v>0</v>
      </c>
      <c r="J82" s="138">
        <f t="shared" si="100"/>
        <v>0</v>
      </c>
      <c r="K82" s="139"/>
      <c r="L82" s="21">
        <v>2.5200000000000001E-3</v>
      </c>
      <c r="M82" s="21">
        <f t="shared" si="101"/>
        <v>5.0400000000000002E-3</v>
      </c>
      <c r="N82" s="22" t="s">
        <v>79</v>
      </c>
      <c r="X82" s="21">
        <f t="shared" si="102"/>
        <v>0</v>
      </c>
      <c r="Z82" s="21">
        <f t="shared" si="103"/>
        <v>0</v>
      </c>
      <c r="AA82" s="21">
        <f t="shared" si="104"/>
        <v>0</v>
      </c>
      <c r="AB82" s="21">
        <f t="shared" si="105"/>
        <v>0</v>
      </c>
      <c r="AC82" s="21">
        <f t="shared" si="106"/>
        <v>0</v>
      </c>
      <c r="AD82" s="21">
        <f t="shared" si="107"/>
        <v>0</v>
      </c>
      <c r="AE82" s="21">
        <f t="shared" si="108"/>
        <v>0</v>
      </c>
      <c r="AF82" s="21">
        <f t="shared" si="109"/>
        <v>0</v>
      </c>
      <c r="AG82" s="12" t="s">
        <v>3</v>
      </c>
      <c r="AH82" s="21">
        <f t="shared" si="110"/>
        <v>0</v>
      </c>
      <c r="AI82" s="21">
        <f t="shared" si="111"/>
        <v>0</v>
      </c>
      <c r="AJ82" s="21">
        <f t="shared" si="112"/>
        <v>0</v>
      </c>
      <c r="AL82" s="21">
        <v>21</v>
      </c>
      <c r="AM82" s="21">
        <f>G82*0.418447205</f>
        <v>0</v>
      </c>
      <c r="AN82" s="21">
        <f>G82*(1-0.418447205)</f>
        <v>0</v>
      </c>
      <c r="AO82" s="23" t="s">
        <v>80</v>
      </c>
      <c r="AT82" s="21">
        <f t="shared" si="113"/>
        <v>0</v>
      </c>
      <c r="AU82" s="21">
        <f t="shared" si="114"/>
        <v>0</v>
      </c>
      <c r="AV82" s="21">
        <f t="shared" si="115"/>
        <v>0</v>
      </c>
      <c r="AW82" s="23" t="s">
        <v>198</v>
      </c>
      <c r="AX82" s="23" t="s">
        <v>82</v>
      </c>
      <c r="AY82" s="12" t="s">
        <v>83</v>
      </c>
      <c r="BA82" s="21">
        <f t="shared" si="116"/>
        <v>0</v>
      </c>
      <c r="BB82" s="21">
        <f t="shared" si="117"/>
        <v>0</v>
      </c>
      <c r="BC82" s="21">
        <v>0</v>
      </c>
      <c r="BD82" s="21">
        <f t="shared" si="118"/>
        <v>5.0400000000000002E-3</v>
      </c>
      <c r="BF82" s="21">
        <f t="shared" si="119"/>
        <v>0</v>
      </c>
      <c r="BG82" s="21">
        <f t="shared" si="120"/>
        <v>0</v>
      </c>
      <c r="BH82" s="21">
        <f t="shared" si="121"/>
        <v>0</v>
      </c>
      <c r="BI82" s="23" t="s">
        <v>84</v>
      </c>
      <c r="BJ82" s="21">
        <v>7211</v>
      </c>
      <c r="BU82" s="21" t="e">
        <f>#REF!</f>
        <v>#REF!</v>
      </c>
      <c r="BV82" s="1" t="s">
        <v>236</v>
      </c>
    </row>
    <row r="83" spans="1:74" ht="15" customHeight="1" x14ac:dyDescent="0.25">
      <c r="A83" s="84"/>
      <c r="B83" s="135">
        <v>59</v>
      </c>
      <c r="C83" s="85" t="s">
        <v>237</v>
      </c>
      <c r="D83" s="136" t="s">
        <v>238</v>
      </c>
      <c r="E83" s="85" t="s">
        <v>120</v>
      </c>
      <c r="F83" s="137">
        <v>4</v>
      </c>
      <c r="G83" s="166">
        <v>0</v>
      </c>
      <c r="H83" s="137">
        <f t="shared" si="98"/>
        <v>0</v>
      </c>
      <c r="I83" s="137">
        <f t="shared" si="99"/>
        <v>0</v>
      </c>
      <c r="J83" s="138">
        <f t="shared" si="100"/>
        <v>0</v>
      </c>
      <c r="K83" s="139"/>
      <c r="L83" s="21">
        <v>1.0000000000000001E-5</v>
      </c>
      <c r="M83" s="21">
        <f t="shared" si="101"/>
        <v>4.0000000000000003E-5</v>
      </c>
      <c r="N83" s="22" t="s">
        <v>3</v>
      </c>
      <c r="X83" s="21">
        <f t="shared" si="102"/>
        <v>0</v>
      </c>
      <c r="Z83" s="21">
        <f t="shared" si="103"/>
        <v>0</v>
      </c>
      <c r="AA83" s="21">
        <f t="shared" si="104"/>
        <v>0</v>
      </c>
      <c r="AB83" s="21">
        <f t="shared" si="105"/>
        <v>0</v>
      </c>
      <c r="AC83" s="21">
        <f t="shared" si="106"/>
        <v>0</v>
      </c>
      <c r="AD83" s="21">
        <f t="shared" si="107"/>
        <v>0</v>
      </c>
      <c r="AE83" s="21">
        <f t="shared" si="108"/>
        <v>0</v>
      </c>
      <c r="AF83" s="21">
        <f t="shared" si="109"/>
        <v>0</v>
      </c>
      <c r="AG83" s="12" t="s">
        <v>3</v>
      </c>
      <c r="AH83" s="21">
        <f t="shared" si="110"/>
        <v>0</v>
      </c>
      <c r="AI83" s="21">
        <f t="shared" si="111"/>
        <v>0</v>
      </c>
      <c r="AJ83" s="21">
        <f t="shared" si="112"/>
        <v>0</v>
      </c>
      <c r="AL83" s="21">
        <v>21</v>
      </c>
      <c r="AM83" s="21">
        <f>G83*0.049211429</f>
        <v>0</v>
      </c>
      <c r="AN83" s="21">
        <f>G83*(1-0.049211429)</f>
        <v>0</v>
      </c>
      <c r="AO83" s="23" t="s">
        <v>80</v>
      </c>
      <c r="AT83" s="21">
        <f t="shared" si="113"/>
        <v>0</v>
      </c>
      <c r="AU83" s="21">
        <f t="shared" si="114"/>
        <v>0</v>
      </c>
      <c r="AV83" s="21">
        <f t="shared" si="115"/>
        <v>0</v>
      </c>
      <c r="AW83" s="23" t="s">
        <v>198</v>
      </c>
      <c r="AX83" s="23" t="s">
        <v>82</v>
      </c>
      <c r="AY83" s="12" t="s">
        <v>83</v>
      </c>
      <c r="BA83" s="21">
        <f t="shared" si="116"/>
        <v>0</v>
      </c>
      <c r="BB83" s="21">
        <f t="shared" si="117"/>
        <v>0</v>
      </c>
      <c r="BC83" s="21">
        <v>0</v>
      </c>
      <c r="BD83" s="21">
        <f t="shared" si="118"/>
        <v>4.0000000000000003E-5</v>
      </c>
      <c r="BF83" s="21">
        <f t="shared" si="119"/>
        <v>0</v>
      </c>
      <c r="BG83" s="21">
        <f t="shared" si="120"/>
        <v>0</v>
      </c>
      <c r="BH83" s="21">
        <f t="shared" si="121"/>
        <v>0</v>
      </c>
      <c r="BI83" s="23" t="s">
        <v>84</v>
      </c>
      <c r="BJ83" s="21">
        <v>7211</v>
      </c>
      <c r="BU83" s="21" t="e">
        <f>#REF!</f>
        <v>#REF!</v>
      </c>
      <c r="BV83" s="28" t="s">
        <v>238</v>
      </c>
    </row>
    <row r="84" spans="1:74" ht="13.5" customHeight="1" x14ac:dyDescent="0.25">
      <c r="A84" s="84"/>
      <c r="B84" s="144"/>
      <c r="C84" s="145" t="s">
        <v>123</v>
      </c>
      <c r="D84" s="146" t="s">
        <v>239</v>
      </c>
      <c r="E84" s="147"/>
      <c r="F84" s="147"/>
      <c r="G84" s="168"/>
      <c r="H84" s="147"/>
      <c r="I84" s="147"/>
      <c r="J84" s="148"/>
      <c r="K84" s="149"/>
      <c r="L84" s="29"/>
      <c r="M84" s="29"/>
      <c r="N84" s="30"/>
    </row>
    <row r="85" spans="1:74" x14ac:dyDescent="0.25">
      <c r="A85" s="84"/>
      <c r="B85" s="135">
        <v>60</v>
      </c>
      <c r="C85" s="85" t="s">
        <v>240</v>
      </c>
      <c r="D85" s="136" t="s">
        <v>241</v>
      </c>
      <c r="E85" s="85" t="s">
        <v>242</v>
      </c>
      <c r="F85" s="137">
        <v>20</v>
      </c>
      <c r="G85" s="166">
        <v>0</v>
      </c>
      <c r="H85" s="137">
        <f>ROUND(F85*AM85,2)</f>
        <v>0</v>
      </c>
      <c r="I85" s="137">
        <f>ROUND(F85*AN85,2)</f>
        <v>0</v>
      </c>
      <c r="J85" s="138">
        <f>ROUND(F85*G85,2)</f>
        <v>0</v>
      </c>
      <c r="K85" s="139"/>
      <c r="L85" s="21">
        <v>1.0000000000000001E-5</v>
      </c>
      <c r="M85" s="21">
        <f>F85*L85</f>
        <v>2.0000000000000001E-4</v>
      </c>
      <c r="N85" s="22" t="s">
        <v>3</v>
      </c>
      <c r="X85" s="21">
        <f>ROUND(IF(AO85="5",BH85,0),2)</f>
        <v>0</v>
      </c>
      <c r="Z85" s="21">
        <f>ROUND(IF(AO85="1",BF85,0),2)</f>
        <v>0</v>
      </c>
      <c r="AA85" s="21">
        <f>ROUND(IF(AO85="1",BG85,0),2)</f>
        <v>0</v>
      </c>
      <c r="AB85" s="21">
        <f>ROUND(IF(AO85="7",BF85,0),2)</f>
        <v>0</v>
      </c>
      <c r="AC85" s="21">
        <f>ROUND(IF(AO85="7",BG85,0),2)</f>
        <v>0</v>
      </c>
      <c r="AD85" s="21">
        <f>ROUND(IF(AO85="2",BF85,0),2)</f>
        <v>0</v>
      </c>
      <c r="AE85" s="21">
        <f>ROUND(IF(AO85="2",BG85,0),2)</f>
        <v>0</v>
      </c>
      <c r="AF85" s="21">
        <f>ROUND(IF(AO85="0",BH85,0),2)</f>
        <v>0</v>
      </c>
      <c r="AG85" s="12" t="s">
        <v>3</v>
      </c>
      <c r="AH85" s="21">
        <f>IF(AL85=0,J85,0)</f>
        <v>0</v>
      </c>
      <c r="AI85" s="21">
        <f>IF(AL85=12,J85,0)</f>
        <v>0</v>
      </c>
      <c r="AJ85" s="21">
        <f>IF(AL85=21,J85,0)</f>
        <v>0</v>
      </c>
      <c r="AL85" s="21">
        <v>21</v>
      </c>
      <c r="AM85" s="21">
        <f>G85*0.04922</f>
        <v>0</v>
      </c>
      <c r="AN85" s="21">
        <f>G85*(1-0.04922)</f>
        <v>0</v>
      </c>
      <c r="AO85" s="23" t="s">
        <v>80</v>
      </c>
      <c r="AT85" s="21">
        <f>ROUND(AU85+AV85,2)</f>
        <v>0</v>
      </c>
      <c r="AU85" s="21">
        <f>ROUND(F85*AM85,2)</f>
        <v>0</v>
      </c>
      <c r="AV85" s="21">
        <f>ROUND(F85*AN85,2)</f>
        <v>0</v>
      </c>
      <c r="AW85" s="23" t="s">
        <v>198</v>
      </c>
      <c r="AX85" s="23" t="s">
        <v>82</v>
      </c>
      <c r="AY85" s="12" t="s">
        <v>83</v>
      </c>
      <c r="BA85" s="21">
        <f>AU85+AV85</f>
        <v>0</v>
      </c>
      <c r="BB85" s="21">
        <f>G85/(100-BC85)*100</f>
        <v>0</v>
      </c>
      <c r="BC85" s="21">
        <v>0</v>
      </c>
      <c r="BD85" s="21">
        <f>M85</f>
        <v>2.0000000000000001E-4</v>
      </c>
      <c r="BF85" s="21">
        <f>F85*AM85</f>
        <v>0</v>
      </c>
      <c r="BG85" s="21">
        <f>F85*AN85</f>
        <v>0</v>
      </c>
      <c r="BH85" s="21">
        <f>F85*G85</f>
        <v>0</v>
      </c>
      <c r="BI85" s="23" t="s">
        <v>84</v>
      </c>
      <c r="BJ85" s="21">
        <v>7211</v>
      </c>
      <c r="BU85" s="21" t="e">
        <f>#REF!</f>
        <v>#REF!</v>
      </c>
      <c r="BV85" s="1" t="s">
        <v>241</v>
      </c>
    </row>
    <row r="86" spans="1:74" ht="13.5" customHeight="1" x14ac:dyDescent="0.25">
      <c r="A86" s="84"/>
      <c r="B86" s="144"/>
      <c r="C86" s="145" t="s">
        <v>123</v>
      </c>
      <c r="D86" s="146" t="s">
        <v>243</v>
      </c>
      <c r="E86" s="147"/>
      <c r="F86" s="147"/>
      <c r="G86" s="168"/>
      <c r="H86" s="147"/>
      <c r="I86" s="147"/>
      <c r="J86" s="148"/>
      <c r="K86" s="149"/>
      <c r="L86" s="29"/>
      <c r="M86" s="29"/>
      <c r="N86" s="30"/>
    </row>
    <row r="87" spans="1:74" x14ac:dyDescent="0.25">
      <c r="A87" s="84"/>
      <c r="B87" s="135">
        <v>61</v>
      </c>
      <c r="C87" s="85" t="s">
        <v>244</v>
      </c>
      <c r="D87" s="136" t="s">
        <v>245</v>
      </c>
      <c r="E87" s="85" t="s">
        <v>122</v>
      </c>
      <c r="F87" s="137">
        <v>1</v>
      </c>
      <c r="G87" s="166">
        <v>0</v>
      </c>
      <c r="H87" s="137">
        <f>ROUND(F87*AM87,2)</f>
        <v>0</v>
      </c>
      <c r="I87" s="137">
        <f>ROUND(F87*AN87,2)</f>
        <v>0</v>
      </c>
      <c r="J87" s="138">
        <f>ROUND(F87*G87,2)</f>
        <v>0</v>
      </c>
      <c r="K87" s="139"/>
      <c r="L87" s="21">
        <v>1.0000000000000001E-5</v>
      </c>
      <c r="M87" s="21">
        <f>F87*L87</f>
        <v>1.0000000000000001E-5</v>
      </c>
      <c r="N87" s="22" t="s">
        <v>3</v>
      </c>
      <c r="X87" s="21">
        <f>ROUND(IF(AO87="5",BH87,0),2)</f>
        <v>0</v>
      </c>
      <c r="Z87" s="21">
        <f>ROUND(IF(AO87="1",BF87,0),2)</f>
        <v>0</v>
      </c>
      <c r="AA87" s="21">
        <f>ROUND(IF(AO87="1",BG87,0),2)</f>
        <v>0</v>
      </c>
      <c r="AB87" s="21">
        <f>ROUND(IF(AO87="7",BF87,0),2)</f>
        <v>0</v>
      </c>
      <c r="AC87" s="21">
        <f>ROUND(IF(AO87="7",BG87,0),2)</f>
        <v>0</v>
      </c>
      <c r="AD87" s="21">
        <f>ROUND(IF(AO87="2",BF87,0),2)</f>
        <v>0</v>
      </c>
      <c r="AE87" s="21">
        <f>ROUND(IF(AO87="2",BG87,0),2)</f>
        <v>0</v>
      </c>
      <c r="AF87" s="21">
        <f>ROUND(IF(AO87="0",BH87,0),2)</f>
        <v>0</v>
      </c>
      <c r="AG87" s="12" t="s">
        <v>3</v>
      </c>
      <c r="AH87" s="21">
        <f>IF(AL87=0,J87,0)</f>
        <v>0</v>
      </c>
      <c r="AI87" s="21">
        <f>IF(AL87=12,J87,0)</f>
        <v>0</v>
      </c>
      <c r="AJ87" s="21">
        <f>IF(AL87=21,J87,0)</f>
        <v>0</v>
      </c>
      <c r="AL87" s="21">
        <v>21</v>
      </c>
      <c r="AM87" s="21">
        <f>G87*0.049221854</f>
        <v>0</v>
      </c>
      <c r="AN87" s="21">
        <f>G87*(1-0.049221854)</f>
        <v>0</v>
      </c>
      <c r="AO87" s="23" t="s">
        <v>80</v>
      </c>
      <c r="AT87" s="21">
        <f>ROUND(AU87+AV87,2)</f>
        <v>0</v>
      </c>
      <c r="AU87" s="21">
        <f>ROUND(F87*AM87,2)</f>
        <v>0</v>
      </c>
      <c r="AV87" s="21">
        <f>ROUND(F87*AN87,2)</f>
        <v>0</v>
      </c>
      <c r="AW87" s="23" t="s">
        <v>198</v>
      </c>
      <c r="AX87" s="23" t="s">
        <v>82</v>
      </c>
      <c r="AY87" s="12" t="s">
        <v>83</v>
      </c>
      <c r="BA87" s="21">
        <f>AU87+AV87</f>
        <v>0</v>
      </c>
      <c r="BB87" s="21">
        <f>G87/(100-BC87)*100</f>
        <v>0</v>
      </c>
      <c r="BC87" s="21">
        <v>0</v>
      </c>
      <c r="BD87" s="21">
        <f>M87</f>
        <v>1.0000000000000001E-5</v>
      </c>
      <c r="BF87" s="21">
        <f>F87*AM87</f>
        <v>0</v>
      </c>
      <c r="BG87" s="21">
        <f>F87*AN87</f>
        <v>0</v>
      </c>
      <c r="BH87" s="21">
        <f>F87*G87</f>
        <v>0</v>
      </c>
      <c r="BI87" s="23" t="s">
        <v>84</v>
      </c>
      <c r="BJ87" s="21">
        <v>7211</v>
      </c>
      <c r="BU87" s="21" t="e">
        <f>#REF!</f>
        <v>#REF!</v>
      </c>
      <c r="BV87" s="1" t="s">
        <v>245</v>
      </c>
    </row>
    <row r="88" spans="1:74" ht="15" customHeight="1" x14ac:dyDescent="0.25">
      <c r="A88" s="84"/>
      <c r="B88" s="135">
        <v>62</v>
      </c>
      <c r="C88" s="85" t="s">
        <v>246</v>
      </c>
      <c r="D88" s="136" t="s">
        <v>247</v>
      </c>
      <c r="E88" s="85" t="s">
        <v>122</v>
      </c>
      <c r="F88" s="137">
        <v>1</v>
      </c>
      <c r="G88" s="166">
        <v>0</v>
      </c>
      <c r="H88" s="137">
        <f>ROUND(F88*AM88,2)</f>
        <v>0</v>
      </c>
      <c r="I88" s="137">
        <f>ROUND(F88*AN88,2)</f>
        <v>0</v>
      </c>
      <c r="J88" s="138">
        <f>ROUND(F88*G88,2)</f>
        <v>0</v>
      </c>
      <c r="K88" s="139"/>
      <c r="L88" s="21">
        <v>0</v>
      </c>
      <c r="M88" s="21">
        <f>F88*L88</f>
        <v>0</v>
      </c>
      <c r="N88" s="22" t="s">
        <v>79</v>
      </c>
      <c r="X88" s="21">
        <f>ROUND(IF(AO88="5",BH88,0),2)</f>
        <v>0</v>
      </c>
      <c r="Z88" s="21">
        <f>ROUND(IF(AO88="1",BF88,0),2)</f>
        <v>0</v>
      </c>
      <c r="AA88" s="21">
        <f>ROUND(IF(AO88="1",BG88,0),2)</f>
        <v>0</v>
      </c>
      <c r="AB88" s="21">
        <f>ROUND(IF(AO88="7",BF88,0),2)</f>
        <v>0</v>
      </c>
      <c r="AC88" s="21">
        <f>ROUND(IF(AO88="7",BG88,0),2)</f>
        <v>0</v>
      </c>
      <c r="AD88" s="21">
        <f>ROUND(IF(AO88="2",BF88,0),2)</f>
        <v>0</v>
      </c>
      <c r="AE88" s="21">
        <f>ROUND(IF(AO88="2",BG88,0),2)</f>
        <v>0</v>
      </c>
      <c r="AF88" s="21">
        <f>ROUND(IF(AO88="0",BH88,0),2)</f>
        <v>0</v>
      </c>
      <c r="AG88" s="12" t="s">
        <v>3</v>
      </c>
      <c r="AH88" s="21">
        <f>IF(AL88=0,J88,0)</f>
        <v>0</v>
      </c>
      <c r="AI88" s="21">
        <f>IF(AL88=12,J88,0)</f>
        <v>0</v>
      </c>
      <c r="AJ88" s="21">
        <f>IF(AL88=21,J88,0)</f>
        <v>0</v>
      </c>
      <c r="AL88" s="21">
        <v>21</v>
      </c>
      <c r="AM88" s="21">
        <f>G88*0</f>
        <v>0</v>
      </c>
      <c r="AN88" s="21">
        <f>G88*(1-0)</f>
        <v>0</v>
      </c>
      <c r="AO88" s="23" t="s">
        <v>80</v>
      </c>
      <c r="AT88" s="21">
        <f>ROUND(AU88+AV88,2)</f>
        <v>0</v>
      </c>
      <c r="AU88" s="21">
        <f>ROUND(F88*AM88,2)</f>
        <v>0</v>
      </c>
      <c r="AV88" s="21">
        <f>ROUND(F88*AN88,2)</f>
        <v>0</v>
      </c>
      <c r="AW88" s="23" t="s">
        <v>198</v>
      </c>
      <c r="AX88" s="23" t="s">
        <v>82</v>
      </c>
      <c r="AY88" s="12" t="s">
        <v>83</v>
      </c>
      <c r="BA88" s="21">
        <f>AU88+AV88</f>
        <v>0</v>
      </c>
      <c r="BB88" s="21">
        <f>G88/(100-BC88)*100</f>
        <v>0</v>
      </c>
      <c r="BC88" s="21">
        <v>0</v>
      </c>
      <c r="BD88" s="21">
        <f>M88</f>
        <v>0</v>
      </c>
      <c r="BF88" s="21">
        <f>F88*AM88</f>
        <v>0</v>
      </c>
      <c r="BG88" s="21">
        <f>F88*AN88</f>
        <v>0</v>
      </c>
      <c r="BH88" s="21">
        <f>F88*G88</f>
        <v>0</v>
      </c>
      <c r="BI88" s="23" t="s">
        <v>84</v>
      </c>
      <c r="BJ88" s="21">
        <v>7211</v>
      </c>
      <c r="BU88" s="21" t="e">
        <f>#REF!</f>
        <v>#REF!</v>
      </c>
      <c r="BV88" s="1" t="s">
        <v>247</v>
      </c>
    </row>
    <row r="89" spans="1:74" x14ac:dyDescent="0.25">
      <c r="A89" s="84"/>
      <c r="B89" s="135">
        <v>63</v>
      </c>
      <c r="C89" s="85" t="s">
        <v>248</v>
      </c>
      <c r="D89" s="136" t="s">
        <v>249</v>
      </c>
      <c r="E89" s="85" t="s">
        <v>122</v>
      </c>
      <c r="F89" s="137">
        <v>3</v>
      </c>
      <c r="G89" s="166">
        <v>0</v>
      </c>
      <c r="H89" s="137">
        <f>ROUND(F89*AM89,2)</f>
        <v>0</v>
      </c>
      <c r="I89" s="137">
        <f>ROUND(F89*AN89,2)</f>
        <v>0</v>
      </c>
      <c r="J89" s="138">
        <f>ROUND(F89*G89,2)</f>
        <v>0</v>
      </c>
      <c r="K89" s="139"/>
      <c r="L89" s="21">
        <v>2.7E-4</v>
      </c>
      <c r="M89" s="21">
        <f>F89*L89</f>
        <v>8.0999999999999996E-4</v>
      </c>
      <c r="N89" s="22" t="s">
        <v>3</v>
      </c>
      <c r="X89" s="21">
        <f>ROUND(IF(AO89="5",BH89,0),2)</f>
        <v>0</v>
      </c>
      <c r="Z89" s="21">
        <f>ROUND(IF(AO89="1",BF89,0),2)</f>
        <v>0</v>
      </c>
      <c r="AA89" s="21">
        <f>ROUND(IF(AO89="1",BG89,0),2)</f>
        <v>0</v>
      </c>
      <c r="AB89" s="21">
        <f>ROUND(IF(AO89="7",BF89,0),2)</f>
        <v>0</v>
      </c>
      <c r="AC89" s="21">
        <f>ROUND(IF(AO89="7",BG89,0),2)</f>
        <v>0</v>
      </c>
      <c r="AD89" s="21">
        <f>ROUND(IF(AO89="2",BF89,0),2)</f>
        <v>0</v>
      </c>
      <c r="AE89" s="21">
        <f>ROUND(IF(AO89="2",BG89,0),2)</f>
        <v>0</v>
      </c>
      <c r="AF89" s="21">
        <f>ROUND(IF(AO89="0",BH89,0),2)</f>
        <v>0</v>
      </c>
      <c r="AG89" s="12" t="s">
        <v>3</v>
      </c>
      <c r="AH89" s="21">
        <f>IF(AL89=0,J89,0)</f>
        <v>0</v>
      </c>
      <c r="AI89" s="21">
        <f>IF(AL89=12,J89,0)</f>
        <v>0</v>
      </c>
      <c r="AJ89" s="21">
        <f>IF(AL89=21,J89,0)</f>
        <v>0</v>
      </c>
      <c r="AL89" s="21">
        <v>21</v>
      </c>
      <c r="AM89" s="21">
        <f>G89*0.817530726</f>
        <v>0</v>
      </c>
      <c r="AN89" s="21">
        <f>G89*(1-0.817530726)</f>
        <v>0</v>
      </c>
      <c r="AO89" s="23" t="s">
        <v>80</v>
      </c>
      <c r="AT89" s="21">
        <f>ROUND(AU89+AV89,2)</f>
        <v>0</v>
      </c>
      <c r="AU89" s="21">
        <f>ROUND(F89*AM89,2)</f>
        <v>0</v>
      </c>
      <c r="AV89" s="21">
        <f>ROUND(F89*AN89,2)</f>
        <v>0</v>
      </c>
      <c r="AW89" s="23" t="s">
        <v>198</v>
      </c>
      <c r="AX89" s="23" t="s">
        <v>82</v>
      </c>
      <c r="AY89" s="12" t="s">
        <v>83</v>
      </c>
      <c r="BA89" s="21">
        <f>AU89+AV89</f>
        <v>0</v>
      </c>
      <c r="BB89" s="21">
        <f>G89/(100-BC89)*100</f>
        <v>0</v>
      </c>
      <c r="BC89" s="21">
        <v>0</v>
      </c>
      <c r="BD89" s="21">
        <f>M89</f>
        <v>8.0999999999999996E-4</v>
      </c>
      <c r="BF89" s="21">
        <f>F89*AM89</f>
        <v>0</v>
      </c>
      <c r="BG89" s="21">
        <f>F89*AN89</f>
        <v>0</v>
      </c>
      <c r="BH89" s="21">
        <f>F89*G89</f>
        <v>0</v>
      </c>
      <c r="BI89" s="23" t="s">
        <v>84</v>
      </c>
      <c r="BJ89" s="21">
        <v>7211</v>
      </c>
      <c r="BU89" s="21" t="e">
        <f>#REF!</f>
        <v>#REF!</v>
      </c>
      <c r="BV89" s="1" t="s">
        <v>249</v>
      </c>
    </row>
    <row r="90" spans="1:74" ht="13.5" customHeight="1" x14ac:dyDescent="0.25">
      <c r="A90" s="84"/>
      <c r="B90" s="144"/>
      <c r="C90" s="145" t="s">
        <v>123</v>
      </c>
      <c r="D90" s="146" t="s">
        <v>250</v>
      </c>
      <c r="E90" s="147"/>
      <c r="F90" s="147"/>
      <c r="G90" s="168"/>
      <c r="H90" s="147"/>
      <c r="I90" s="147"/>
      <c r="J90" s="148"/>
      <c r="K90" s="149"/>
      <c r="L90" s="29"/>
      <c r="M90" s="29"/>
      <c r="N90" s="30"/>
    </row>
    <row r="91" spans="1:74" x14ac:dyDescent="0.25">
      <c r="A91" s="84"/>
      <c r="B91" s="135">
        <v>64</v>
      </c>
      <c r="C91" s="85" t="s">
        <v>251</v>
      </c>
      <c r="D91" s="136" t="s">
        <v>252</v>
      </c>
      <c r="E91" s="85" t="s">
        <v>253</v>
      </c>
      <c r="F91" s="137">
        <v>36</v>
      </c>
      <c r="G91" s="166">
        <v>0</v>
      </c>
      <c r="H91" s="137">
        <f>ROUND(F91*AM91,2)</f>
        <v>0</v>
      </c>
      <c r="I91" s="137">
        <f>ROUND(F91*AN91,2)</f>
        <v>0</v>
      </c>
      <c r="J91" s="138">
        <f>ROUND(F91*G91,2)</f>
        <v>0</v>
      </c>
      <c r="K91" s="139"/>
      <c r="L91" s="21">
        <v>0</v>
      </c>
      <c r="M91" s="21">
        <f>F91*L91</f>
        <v>0</v>
      </c>
      <c r="N91" s="22" t="s">
        <v>79</v>
      </c>
      <c r="X91" s="21">
        <f>ROUND(IF(AO91="5",BH91,0),2)</f>
        <v>0</v>
      </c>
      <c r="Z91" s="21">
        <f>ROUND(IF(AO91="1",BF91,0),2)</f>
        <v>0</v>
      </c>
      <c r="AA91" s="21">
        <f>ROUND(IF(AO91="1",BG91,0),2)</f>
        <v>0</v>
      </c>
      <c r="AB91" s="21">
        <f>ROUND(IF(AO91="7",BF91,0),2)</f>
        <v>0</v>
      </c>
      <c r="AC91" s="21">
        <f>ROUND(IF(AO91="7",BG91,0),2)</f>
        <v>0</v>
      </c>
      <c r="AD91" s="21">
        <f>ROUND(IF(AO91="2",BF91,0),2)</f>
        <v>0</v>
      </c>
      <c r="AE91" s="21">
        <f>ROUND(IF(AO91="2",BG91,0),2)</f>
        <v>0</v>
      </c>
      <c r="AF91" s="21">
        <f>ROUND(IF(AO91="0",BH91,0),2)</f>
        <v>0</v>
      </c>
      <c r="AG91" s="12" t="s">
        <v>3</v>
      </c>
      <c r="AH91" s="21">
        <f>IF(AL91=0,J91,0)</f>
        <v>0</v>
      </c>
      <c r="AI91" s="21">
        <f>IF(AL91=12,J91,0)</f>
        <v>0</v>
      </c>
      <c r="AJ91" s="21">
        <f>IF(AL91=21,J91,0)</f>
        <v>0</v>
      </c>
      <c r="AL91" s="21">
        <v>21</v>
      </c>
      <c r="AM91" s="21">
        <f>G91*0</f>
        <v>0</v>
      </c>
      <c r="AN91" s="21">
        <f>G91*(1-0)</f>
        <v>0</v>
      </c>
      <c r="AO91" s="23" t="s">
        <v>80</v>
      </c>
      <c r="AT91" s="21">
        <f>ROUND(AU91+AV91,2)</f>
        <v>0</v>
      </c>
      <c r="AU91" s="21">
        <f>ROUND(F91*AM91,2)</f>
        <v>0</v>
      </c>
      <c r="AV91" s="21">
        <f>ROUND(F91*AN91,2)</f>
        <v>0</v>
      </c>
      <c r="AW91" s="23" t="s">
        <v>198</v>
      </c>
      <c r="AX91" s="23" t="s">
        <v>82</v>
      </c>
      <c r="AY91" s="12" t="s">
        <v>83</v>
      </c>
      <c r="BA91" s="21">
        <f>AU91+AV91</f>
        <v>0</v>
      </c>
      <c r="BB91" s="21">
        <f>G91/(100-BC91)*100</f>
        <v>0</v>
      </c>
      <c r="BC91" s="21">
        <v>0</v>
      </c>
      <c r="BD91" s="21">
        <f>M91</f>
        <v>0</v>
      </c>
      <c r="BF91" s="21">
        <f>F91*AM91</f>
        <v>0</v>
      </c>
      <c r="BG91" s="21">
        <f>F91*AN91</f>
        <v>0</v>
      </c>
      <c r="BH91" s="21">
        <f>F91*G91</f>
        <v>0</v>
      </c>
      <c r="BI91" s="23" t="s">
        <v>84</v>
      </c>
      <c r="BJ91" s="21">
        <v>7211</v>
      </c>
      <c r="BU91" s="21" t="e">
        <f>#REF!</f>
        <v>#REF!</v>
      </c>
      <c r="BV91" s="1" t="s">
        <v>252</v>
      </c>
    </row>
    <row r="92" spans="1:74" ht="17.25" customHeight="1" x14ac:dyDescent="0.25">
      <c r="A92" s="84"/>
      <c r="B92" s="144"/>
      <c r="C92" s="145" t="s">
        <v>132</v>
      </c>
      <c r="D92" s="147" t="s">
        <v>254</v>
      </c>
      <c r="E92" s="147"/>
      <c r="F92" s="147"/>
      <c r="G92" s="168"/>
      <c r="H92" s="147"/>
      <c r="I92" s="147"/>
      <c r="J92" s="148"/>
      <c r="K92" s="149"/>
      <c r="L92" s="29"/>
      <c r="M92" s="29"/>
      <c r="N92" s="30"/>
      <c r="BV92" t="s">
        <v>254</v>
      </c>
    </row>
    <row r="93" spans="1:74" x14ac:dyDescent="0.25">
      <c r="A93" s="84"/>
      <c r="B93" s="135">
        <v>65</v>
      </c>
      <c r="C93" s="85" t="s">
        <v>255</v>
      </c>
      <c r="D93" s="136" t="s">
        <v>256</v>
      </c>
      <c r="E93" s="85" t="s">
        <v>253</v>
      </c>
      <c r="F93" s="137">
        <v>24</v>
      </c>
      <c r="G93" s="166">
        <v>0</v>
      </c>
      <c r="H93" s="137">
        <f>ROUND(F93*AM93,2)</f>
        <v>0</v>
      </c>
      <c r="I93" s="137">
        <f>ROUND(F93*AN93,2)</f>
        <v>0</v>
      </c>
      <c r="J93" s="138">
        <f>ROUND(F93*G93,2)</f>
        <v>0</v>
      </c>
      <c r="K93" s="139"/>
      <c r="L93" s="21">
        <v>0</v>
      </c>
      <c r="M93" s="21">
        <f>F93*L93</f>
        <v>0</v>
      </c>
      <c r="N93" s="22" t="s">
        <v>79</v>
      </c>
      <c r="X93" s="21">
        <f>ROUND(IF(AO93="5",BH93,0),2)</f>
        <v>0</v>
      </c>
      <c r="Z93" s="21">
        <f>ROUND(IF(AO93="1",BF93,0),2)</f>
        <v>0</v>
      </c>
      <c r="AA93" s="21">
        <f>ROUND(IF(AO93="1",BG93,0),2)</f>
        <v>0</v>
      </c>
      <c r="AB93" s="21">
        <f>ROUND(IF(AO93="7",BF93,0),2)</f>
        <v>0</v>
      </c>
      <c r="AC93" s="21">
        <f>ROUND(IF(AO93="7",BG93,0),2)</f>
        <v>0</v>
      </c>
      <c r="AD93" s="21">
        <f>ROUND(IF(AO93="2",BF93,0),2)</f>
        <v>0</v>
      </c>
      <c r="AE93" s="21">
        <f>ROUND(IF(AO93="2",BG93,0),2)</f>
        <v>0</v>
      </c>
      <c r="AF93" s="21">
        <f>ROUND(IF(AO93="0",BH93,0),2)</f>
        <v>0</v>
      </c>
      <c r="AG93" s="12" t="s">
        <v>3</v>
      </c>
      <c r="AH93" s="21">
        <f>IF(AL93=0,J93,0)</f>
        <v>0</v>
      </c>
      <c r="AI93" s="21">
        <f>IF(AL93=12,J93,0)</f>
        <v>0</v>
      </c>
      <c r="AJ93" s="21">
        <f>IF(AL93=21,J93,0)</f>
        <v>0</v>
      </c>
      <c r="AL93" s="21">
        <v>21</v>
      </c>
      <c r="AM93" s="21">
        <f>G93*0</f>
        <v>0</v>
      </c>
      <c r="AN93" s="21">
        <f>G93*(1-0)</f>
        <v>0</v>
      </c>
      <c r="AO93" s="23" t="s">
        <v>80</v>
      </c>
      <c r="AT93" s="21">
        <f>ROUND(AU93+AV93,2)</f>
        <v>0</v>
      </c>
      <c r="AU93" s="21">
        <f>ROUND(F93*AM93,2)</f>
        <v>0</v>
      </c>
      <c r="AV93" s="21">
        <f>ROUND(F93*AN93,2)</f>
        <v>0</v>
      </c>
      <c r="AW93" s="23" t="s">
        <v>198</v>
      </c>
      <c r="AX93" s="23" t="s">
        <v>82</v>
      </c>
      <c r="AY93" s="12" t="s">
        <v>83</v>
      </c>
      <c r="BA93" s="21">
        <f>AU93+AV93</f>
        <v>0</v>
      </c>
      <c r="BB93" s="21">
        <f>G93/(100-BC93)*100</f>
        <v>0</v>
      </c>
      <c r="BC93" s="21">
        <v>0</v>
      </c>
      <c r="BD93" s="21">
        <f>M93</f>
        <v>0</v>
      </c>
      <c r="BF93" s="21">
        <f>F93*AM93</f>
        <v>0</v>
      </c>
      <c r="BG93" s="21">
        <f>F93*AN93</f>
        <v>0</v>
      </c>
      <c r="BH93" s="21">
        <f>F93*G93</f>
        <v>0</v>
      </c>
      <c r="BI93" s="23" t="s">
        <v>84</v>
      </c>
      <c r="BJ93" s="21">
        <v>7211</v>
      </c>
      <c r="BU93" s="21" t="e">
        <f>#REF!</f>
        <v>#REF!</v>
      </c>
      <c r="BV93" s="1" t="s">
        <v>256</v>
      </c>
    </row>
    <row r="94" spans="1:74" x14ac:dyDescent="0.25">
      <c r="A94" s="84"/>
      <c r="B94" s="135">
        <v>66</v>
      </c>
      <c r="C94" s="85" t="s">
        <v>257</v>
      </c>
      <c r="D94" s="136" t="s">
        <v>258</v>
      </c>
      <c r="E94" s="85" t="s">
        <v>253</v>
      </c>
      <c r="F94" s="137">
        <v>12</v>
      </c>
      <c r="G94" s="166">
        <v>0</v>
      </c>
      <c r="H94" s="137">
        <f>ROUND(F94*AM94,2)</f>
        <v>0</v>
      </c>
      <c r="I94" s="137">
        <f>ROUND(F94*AN94,2)</f>
        <v>0</v>
      </c>
      <c r="J94" s="138">
        <f>ROUND(F94*G94,2)</f>
        <v>0</v>
      </c>
      <c r="K94" s="139"/>
      <c r="L94" s="21">
        <v>0</v>
      </c>
      <c r="M94" s="21">
        <f>F94*L94</f>
        <v>0</v>
      </c>
      <c r="N94" s="22" t="s">
        <v>79</v>
      </c>
      <c r="X94" s="21">
        <f>ROUND(IF(AO94="5",BH94,0),2)</f>
        <v>0</v>
      </c>
      <c r="Z94" s="21">
        <f>ROUND(IF(AO94="1",BF94,0),2)</f>
        <v>0</v>
      </c>
      <c r="AA94" s="21">
        <f>ROUND(IF(AO94="1",BG94,0),2)</f>
        <v>0</v>
      </c>
      <c r="AB94" s="21">
        <f>ROUND(IF(AO94="7",BF94,0),2)</f>
        <v>0</v>
      </c>
      <c r="AC94" s="21">
        <f>ROUND(IF(AO94="7",BG94,0),2)</f>
        <v>0</v>
      </c>
      <c r="AD94" s="21">
        <f>ROUND(IF(AO94="2",BF94,0),2)</f>
        <v>0</v>
      </c>
      <c r="AE94" s="21">
        <f>ROUND(IF(AO94="2",BG94,0),2)</f>
        <v>0</v>
      </c>
      <c r="AF94" s="21">
        <f>ROUND(IF(AO94="0",BH94,0),2)</f>
        <v>0</v>
      </c>
      <c r="AG94" s="12" t="s">
        <v>3</v>
      </c>
      <c r="AH94" s="21">
        <f>IF(AL94=0,J94,0)</f>
        <v>0</v>
      </c>
      <c r="AI94" s="21">
        <f>IF(AL94=12,J94,0)</f>
        <v>0</v>
      </c>
      <c r="AJ94" s="21">
        <f>IF(AL94=21,J94,0)</f>
        <v>0</v>
      </c>
      <c r="AL94" s="21">
        <v>21</v>
      </c>
      <c r="AM94" s="21">
        <f>G94*0</f>
        <v>0</v>
      </c>
      <c r="AN94" s="21">
        <f>G94*(1-0)</f>
        <v>0</v>
      </c>
      <c r="AO94" s="23" t="s">
        <v>80</v>
      </c>
      <c r="AT94" s="21">
        <f>ROUND(AU94+AV94,2)</f>
        <v>0</v>
      </c>
      <c r="AU94" s="21">
        <f>ROUND(F94*AM94,2)</f>
        <v>0</v>
      </c>
      <c r="AV94" s="21">
        <f>ROUND(F94*AN94,2)</f>
        <v>0</v>
      </c>
      <c r="AW94" s="23" t="s">
        <v>198</v>
      </c>
      <c r="AX94" s="23" t="s">
        <v>82</v>
      </c>
      <c r="AY94" s="12" t="s">
        <v>83</v>
      </c>
      <c r="BA94" s="21">
        <f>AU94+AV94</f>
        <v>0</v>
      </c>
      <c r="BB94" s="21">
        <f>G94/(100-BC94)*100</f>
        <v>0</v>
      </c>
      <c r="BC94" s="21">
        <v>0</v>
      </c>
      <c r="BD94" s="21">
        <f>M94</f>
        <v>0</v>
      </c>
      <c r="BF94" s="21">
        <f>F94*AM94</f>
        <v>0</v>
      </c>
      <c r="BG94" s="21">
        <f>F94*AN94</f>
        <v>0</v>
      </c>
      <c r="BH94" s="21">
        <f>F94*G94</f>
        <v>0</v>
      </c>
      <c r="BI94" s="23" t="s">
        <v>84</v>
      </c>
      <c r="BJ94" s="21">
        <v>7211</v>
      </c>
      <c r="BU94" s="21" t="e">
        <f>#REF!</f>
        <v>#REF!</v>
      </c>
      <c r="BV94" s="1" t="s">
        <v>258</v>
      </c>
    </row>
    <row r="95" spans="1:74" x14ac:dyDescent="0.25">
      <c r="A95" s="84"/>
      <c r="B95" s="135">
        <v>67</v>
      </c>
      <c r="C95" s="85" t="s">
        <v>259</v>
      </c>
      <c r="D95" s="136" t="s">
        <v>260</v>
      </c>
      <c r="E95" s="85" t="s">
        <v>253</v>
      </c>
      <c r="F95" s="137">
        <v>12</v>
      </c>
      <c r="G95" s="166">
        <v>0</v>
      </c>
      <c r="H95" s="137">
        <f>ROUND(F95*AM95,2)</f>
        <v>0</v>
      </c>
      <c r="I95" s="137">
        <f>ROUND(F95*AN95,2)</f>
        <v>0</v>
      </c>
      <c r="J95" s="138">
        <f>ROUND(F95*G95,2)</f>
        <v>0</v>
      </c>
      <c r="K95" s="139"/>
      <c r="L95" s="21">
        <v>0</v>
      </c>
      <c r="M95" s="21">
        <f>F95*L95</f>
        <v>0</v>
      </c>
      <c r="N95" s="22" t="s">
        <v>79</v>
      </c>
      <c r="X95" s="21">
        <f>ROUND(IF(AO95="5",BH95,0),2)</f>
        <v>0</v>
      </c>
      <c r="Z95" s="21">
        <f>ROUND(IF(AO95="1",BF95,0),2)</f>
        <v>0</v>
      </c>
      <c r="AA95" s="21">
        <f>ROUND(IF(AO95="1",BG95,0),2)</f>
        <v>0</v>
      </c>
      <c r="AB95" s="21">
        <f>ROUND(IF(AO95="7",BF95,0),2)</f>
        <v>0</v>
      </c>
      <c r="AC95" s="21">
        <f>ROUND(IF(AO95="7",BG95,0),2)</f>
        <v>0</v>
      </c>
      <c r="AD95" s="21">
        <f>ROUND(IF(AO95="2",BF95,0),2)</f>
        <v>0</v>
      </c>
      <c r="AE95" s="21">
        <f>ROUND(IF(AO95="2",BG95,0),2)</f>
        <v>0</v>
      </c>
      <c r="AF95" s="21">
        <f>ROUND(IF(AO95="0",BH95,0),2)</f>
        <v>0</v>
      </c>
      <c r="AG95" s="12" t="s">
        <v>3</v>
      </c>
      <c r="AH95" s="21">
        <f>IF(AL95=0,J95,0)</f>
        <v>0</v>
      </c>
      <c r="AI95" s="21">
        <f>IF(AL95=12,J95,0)</f>
        <v>0</v>
      </c>
      <c r="AJ95" s="21">
        <f>IF(AL95=21,J95,0)</f>
        <v>0</v>
      </c>
      <c r="AL95" s="21">
        <v>21</v>
      </c>
      <c r="AM95" s="21">
        <f>G95*0</f>
        <v>0</v>
      </c>
      <c r="AN95" s="21">
        <f>G95*(1-0)</f>
        <v>0</v>
      </c>
      <c r="AO95" s="23" t="s">
        <v>85</v>
      </c>
      <c r="AT95" s="21">
        <f>ROUND(AU95+AV95,2)</f>
        <v>0</v>
      </c>
      <c r="AU95" s="21">
        <f>ROUND(F95*AM95,2)</f>
        <v>0</v>
      </c>
      <c r="AV95" s="21">
        <f>ROUND(F95*AN95,2)</f>
        <v>0</v>
      </c>
      <c r="AW95" s="23" t="s">
        <v>198</v>
      </c>
      <c r="AX95" s="23" t="s">
        <v>82</v>
      </c>
      <c r="AY95" s="12" t="s">
        <v>83</v>
      </c>
      <c r="BA95" s="21">
        <f>AU95+AV95</f>
        <v>0</v>
      </c>
      <c r="BB95" s="21">
        <f>G95/(100-BC95)*100</f>
        <v>0</v>
      </c>
      <c r="BC95" s="21">
        <v>0</v>
      </c>
      <c r="BD95" s="21">
        <f>M95</f>
        <v>0</v>
      </c>
      <c r="BF95" s="21">
        <f>F95*AM95</f>
        <v>0</v>
      </c>
      <c r="BG95" s="21">
        <f>F95*AN95</f>
        <v>0</v>
      </c>
      <c r="BH95" s="21">
        <f>F95*G95</f>
        <v>0</v>
      </c>
      <c r="BI95" s="23" t="s">
        <v>84</v>
      </c>
      <c r="BJ95" s="21">
        <v>7211</v>
      </c>
      <c r="BU95" s="21" t="e">
        <f>#REF!</f>
        <v>#REF!</v>
      </c>
      <c r="BV95" s="1" t="s">
        <v>260</v>
      </c>
    </row>
    <row r="96" spans="1:74" ht="13.5" customHeight="1" x14ac:dyDescent="0.25">
      <c r="A96" s="84"/>
      <c r="B96" s="144"/>
      <c r="C96" s="145" t="s">
        <v>123</v>
      </c>
      <c r="D96" s="146" t="s">
        <v>261</v>
      </c>
      <c r="E96" s="147"/>
      <c r="F96" s="147"/>
      <c r="G96" s="168"/>
      <c r="H96" s="147"/>
      <c r="I96" s="147"/>
      <c r="J96" s="148"/>
      <c r="K96" s="149"/>
      <c r="L96" s="29"/>
      <c r="M96" s="29"/>
      <c r="N96" s="30"/>
    </row>
    <row r="97" spans="1:74" x14ac:dyDescent="0.25">
      <c r="A97" s="84"/>
      <c r="B97" s="135">
        <v>68</v>
      </c>
      <c r="C97" s="85" t="s">
        <v>262</v>
      </c>
      <c r="D97" s="136" t="s">
        <v>263</v>
      </c>
      <c r="E97" s="85" t="s">
        <v>253</v>
      </c>
      <c r="F97" s="137">
        <v>12</v>
      </c>
      <c r="G97" s="166">
        <v>0</v>
      </c>
      <c r="H97" s="137">
        <f>ROUND(F97*AM97,2)</f>
        <v>0</v>
      </c>
      <c r="I97" s="137">
        <f>ROUND(F97*AN97,2)</f>
        <v>0</v>
      </c>
      <c r="J97" s="138">
        <f>ROUND(F97*G97,2)</f>
        <v>0</v>
      </c>
      <c r="K97" s="139"/>
      <c r="L97" s="21">
        <v>1.67</v>
      </c>
      <c r="M97" s="21">
        <f>F97*L97</f>
        <v>20.04</v>
      </c>
      <c r="N97" s="22" t="s">
        <v>79</v>
      </c>
      <c r="X97" s="21">
        <f>ROUND(IF(AO97="5",BH97,0),2)</f>
        <v>0</v>
      </c>
      <c r="Z97" s="21">
        <f>ROUND(IF(AO97="1",BF97,0),2)</f>
        <v>0</v>
      </c>
      <c r="AA97" s="21">
        <f>ROUND(IF(AO97="1",BG97,0),2)</f>
        <v>0</v>
      </c>
      <c r="AB97" s="21">
        <f>ROUND(IF(AO97="7",BF97,0),2)</f>
        <v>0</v>
      </c>
      <c r="AC97" s="21">
        <f>ROUND(IF(AO97="7",BG97,0),2)</f>
        <v>0</v>
      </c>
      <c r="AD97" s="21">
        <f>ROUND(IF(AO97="2",BF97,0),2)</f>
        <v>0</v>
      </c>
      <c r="AE97" s="21">
        <f>ROUND(IF(AO97="2",BG97,0),2)</f>
        <v>0</v>
      </c>
      <c r="AF97" s="21">
        <f>ROUND(IF(AO97="0",BH97,0),2)</f>
        <v>0</v>
      </c>
      <c r="AG97" s="12" t="s">
        <v>3</v>
      </c>
      <c r="AH97" s="21">
        <f>IF(AL97=0,J97,0)</f>
        <v>0</v>
      </c>
      <c r="AI97" s="21">
        <f>IF(AL97=12,J97,0)</f>
        <v>0</v>
      </c>
      <c r="AJ97" s="21">
        <f>IF(AL97=21,J97,0)</f>
        <v>0</v>
      </c>
      <c r="AL97" s="21">
        <v>21</v>
      </c>
      <c r="AM97" s="21">
        <f>G97*0.332170157</f>
        <v>0</v>
      </c>
      <c r="AN97" s="21">
        <f>G97*(1-0.332170157)</f>
        <v>0</v>
      </c>
      <c r="AO97" s="23" t="s">
        <v>80</v>
      </c>
      <c r="AT97" s="21">
        <f>ROUND(AU97+AV97,2)</f>
        <v>0</v>
      </c>
      <c r="AU97" s="21">
        <f>ROUND(F97*AM97,2)</f>
        <v>0</v>
      </c>
      <c r="AV97" s="21">
        <f>ROUND(F97*AN97,2)</f>
        <v>0</v>
      </c>
      <c r="AW97" s="23" t="s">
        <v>198</v>
      </c>
      <c r="AX97" s="23" t="s">
        <v>82</v>
      </c>
      <c r="AY97" s="12" t="s">
        <v>83</v>
      </c>
      <c r="BA97" s="21">
        <f>AU97+AV97</f>
        <v>0</v>
      </c>
      <c r="BB97" s="21">
        <f>G97/(100-BC97)*100</f>
        <v>0</v>
      </c>
      <c r="BC97" s="21">
        <v>0</v>
      </c>
      <c r="BD97" s="21">
        <f>M97</f>
        <v>20.04</v>
      </c>
      <c r="BF97" s="21">
        <f>F97*AM97</f>
        <v>0</v>
      </c>
      <c r="BG97" s="21">
        <f>F97*AN97</f>
        <v>0</v>
      </c>
      <c r="BH97" s="21">
        <f>F97*G97</f>
        <v>0</v>
      </c>
      <c r="BI97" s="23" t="s">
        <v>84</v>
      </c>
      <c r="BJ97" s="21">
        <v>7211</v>
      </c>
      <c r="BU97" s="21" t="e">
        <f>#REF!</f>
        <v>#REF!</v>
      </c>
      <c r="BV97" s="1" t="s">
        <v>263</v>
      </c>
    </row>
    <row r="98" spans="1:74" ht="13.5" customHeight="1" x14ac:dyDescent="0.25">
      <c r="A98" s="84"/>
      <c r="B98" s="144"/>
      <c r="C98" s="145" t="s">
        <v>123</v>
      </c>
      <c r="D98" s="146" t="s">
        <v>264</v>
      </c>
      <c r="E98" s="147"/>
      <c r="F98" s="147"/>
      <c r="G98" s="168"/>
      <c r="H98" s="147"/>
      <c r="I98" s="147"/>
      <c r="J98" s="148"/>
      <c r="K98" s="149"/>
      <c r="L98" s="29"/>
      <c r="M98" s="29"/>
      <c r="N98" s="30"/>
    </row>
    <row r="99" spans="1:74" x14ac:dyDescent="0.25">
      <c r="A99" s="84"/>
      <c r="B99" s="135">
        <v>69</v>
      </c>
      <c r="C99" s="85" t="s">
        <v>265</v>
      </c>
      <c r="D99" s="136" t="s">
        <v>266</v>
      </c>
      <c r="E99" s="85" t="s">
        <v>78</v>
      </c>
      <c r="F99" s="137">
        <v>33.5</v>
      </c>
      <c r="G99" s="166">
        <v>0</v>
      </c>
      <c r="H99" s="137">
        <f>ROUND(F99*AM99,2)</f>
        <v>0</v>
      </c>
      <c r="I99" s="137">
        <f>ROUND(F99*AN99,2)</f>
        <v>0</v>
      </c>
      <c r="J99" s="138">
        <f>ROUND(F99*G99,2)</f>
        <v>0</v>
      </c>
      <c r="K99" s="139"/>
      <c r="L99" s="21">
        <v>0</v>
      </c>
      <c r="M99" s="21">
        <f>F99*L99</f>
        <v>0</v>
      </c>
      <c r="N99" s="22" t="s">
        <v>79</v>
      </c>
      <c r="X99" s="21">
        <f>ROUND(IF(AO99="5",BH99,0),2)</f>
        <v>0</v>
      </c>
      <c r="Z99" s="21">
        <f>ROUND(IF(AO99="1",BF99,0),2)</f>
        <v>0</v>
      </c>
      <c r="AA99" s="21">
        <f>ROUND(IF(AO99="1",BG99,0),2)</f>
        <v>0</v>
      </c>
      <c r="AB99" s="21">
        <f>ROUND(IF(AO99="7",BF99,0),2)</f>
        <v>0</v>
      </c>
      <c r="AC99" s="21">
        <f>ROUND(IF(AO99="7",BG99,0),2)</f>
        <v>0</v>
      </c>
      <c r="AD99" s="21">
        <f>ROUND(IF(AO99="2",BF99,0),2)</f>
        <v>0</v>
      </c>
      <c r="AE99" s="21">
        <f>ROUND(IF(AO99="2",BG99,0),2)</f>
        <v>0</v>
      </c>
      <c r="AF99" s="21">
        <f>ROUND(IF(AO99="0",BH99,0),2)</f>
        <v>0</v>
      </c>
      <c r="AG99" s="12" t="s">
        <v>3</v>
      </c>
      <c r="AH99" s="21">
        <f>IF(AL99=0,J99,0)</f>
        <v>0</v>
      </c>
      <c r="AI99" s="21">
        <f>IF(AL99=12,J99,0)</f>
        <v>0</v>
      </c>
      <c r="AJ99" s="21">
        <f>IF(AL99=21,J99,0)</f>
        <v>0</v>
      </c>
      <c r="AL99" s="21">
        <v>21</v>
      </c>
      <c r="AM99" s="21">
        <f>G99*0</f>
        <v>0</v>
      </c>
      <c r="AN99" s="21">
        <f>G99*(1-0)</f>
        <v>0</v>
      </c>
      <c r="AO99" s="23" t="s">
        <v>80</v>
      </c>
      <c r="AT99" s="21">
        <f>ROUND(AU99+AV99,2)</f>
        <v>0</v>
      </c>
      <c r="AU99" s="21">
        <f>ROUND(F99*AM99,2)</f>
        <v>0</v>
      </c>
      <c r="AV99" s="21">
        <f>ROUND(F99*AN99,2)</f>
        <v>0</v>
      </c>
      <c r="AW99" s="23" t="s">
        <v>198</v>
      </c>
      <c r="AX99" s="23" t="s">
        <v>82</v>
      </c>
      <c r="AY99" s="12" t="s">
        <v>83</v>
      </c>
      <c r="BA99" s="21">
        <f>AU99+AV99</f>
        <v>0</v>
      </c>
      <c r="BB99" s="21">
        <f>G99/(100-BC99)*100</f>
        <v>0</v>
      </c>
      <c r="BC99" s="21">
        <v>0</v>
      </c>
      <c r="BD99" s="21">
        <f>M99</f>
        <v>0</v>
      </c>
      <c r="BF99" s="21">
        <f>F99*AM99</f>
        <v>0</v>
      </c>
      <c r="BG99" s="21">
        <f>F99*AN99</f>
        <v>0</v>
      </c>
      <c r="BH99" s="21">
        <f>F99*G99</f>
        <v>0</v>
      </c>
      <c r="BI99" s="23" t="s">
        <v>84</v>
      </c>
      <c r="BJ99" s="21">
        <v>7211</v>
      </c>
      <c r="BU99" s="21" t="e">
        <f>#REF!</f>
        <v>#REF!</v>
      </c>
      <c r="BV99" s="1" t="s">
        <v>266</v>
      </c>
    </row>
    <row r="100" spans="1:74" ht="15" customHeight="1" x14ac:dyDescent="0.25">
      <c r="A100" s="84"/>
      <c r="B100" s="135">
        <v>70</v>
      </c>
      <c r="C100" s="85" t="s">
        <v>267</v>
      </c>
      <c r="D100" s="136" t="s">
        <v>268</v>
      </c>
      <c r="E100" s="85" t="s">
        <v>78</v>
      </c>
      <c r="F100" s="137">
        <v>46</v>
      </c>
      <c r="G100" s="166">
        <v>0</v>
      </c>
      <c r="H100" s="137">
        <f>ROUND(F100*AM100,2)</f>
        <v>0</v>
      </c>
      <c r="I100" s="137">
        <f>ROUND(F100*AN100,2)</f>
        <v>0</v>
      </c>
      <c r="J100" s="138">
        <f>ROUND(F100*G100,2)</f>
        <v>0</v>
      </c>
      <c r="K100" s="139"/>
      <c r="L100" s="21">
        <v>0</v>
      </c>
      <c r="M100" s="21">
        <f>F100*L100</f>
        <v>0</v>
      </c>
      <c r="N100" s="22" t="s">
        <v>79</v>
      </c>
      <c r="X100" s="21">
        <f>ROUND(IF(AO100="5",BH100,0),2)</f>
        <v>0</v>
      </c>
      <c r="Z100" s="21">
        <f>ROUND(IF(AO100="1",BF100,0),2)</f>
        <v>0</v>
      </c>
      <c r="AA100" s="21">
        <f>ROUND(IF(AO100="1",BG100,0),2)</f>
        <v>0</v>
      </c>
      <c r="AB100" s="21">
        <f>ROUND(IF(AO100="7",BF100,0),2)</f>
        <v>0</v>
      </c>
      <c r="AC100" s="21">
        <f>ROUND(IF(AO100="7",BG100,0),2)</f>
        <v>0</v>
      </c>
      <c r="AD100" s="21">
        <f>ROUND(IF(AO100="2",BF100,0),2)</f>
        <v>0</v>
      </c>
      <c r="AE100" s="21">
        <f>ROUND(IF(AO100="2",BG100,0),2)</f>
        <v>0</v>
      </c>
      <c r="AF100" s="21">
        <f>ROUND(IF(AO100="0",BH100,0),2)</f>
        <v>0</v>
      </c>
      <c r="AG100" s="12" t="s">
        <v>3</v>
      </c>
      <c r="AH100" s="21">
        <f>IF(AL100=0,J100,0)</f>
        <v>0</v>
      </c>
      <c r="AI100" s="21">
        <f>IF(AL100=12,J100,0)</f>
        <v>0</v>
      </c>
      <c r="AJ100" s="21">
        <f>IF(AL100=21,J100,0)</f>
        <v>0</v>
      </c>
      <c r="AL100" s="21">
        <v>21</v>
      </c>
      <c r="AM100" s="21">
        <f>G100*0.079379157</f>
        <v>0</v>
      </c>
      <c r="AN100" s="21">
        <f>G100*(1-0.079379157)</f>
        <v>0</v>
      </c>
      <c r="AO100" s="23" t="s">
        <v>80</v>
      </c>
      <c r="AT100" s="21">
        <f>ROUND(AU100+AV100,2)</f>
        <v>0</v>
      </c>
      <c r="AU100" s="21">
        <f>ROUND(F100*AM100,2)</f>
        <v>0</v>
      </c>
      <c r="AV100" s="21">
        <f>ROUND(F100*AN100,2)</f>
        <v>0</v>
      </c>
      <c r="AW100" s="23" t="s">
        <v>198</v>
      </c>
      <c r="AX100" s="23" t="s">
        <v>82</v>
      </c>
      <c r="AY100" s="12" t="s">
        <v>83</v>
      </c>
      <c r="BA100" s="21">
        <f>AU100+AV100</f>
        <v>0</v>
      </c>
      <c r="BB100" s="21">
        <f>G100/(100-BC100)*100</f>
        <v>0</v>
      </c>
      <c r="BC100" s="21">
        <v>0</v>
      </c>
      <c r="BD100" s="21">
        <f>M100</f>
        <v>0</v>
      </c>
      <c r="BF100" s="21">
        <f>F100*AM100</f>
        <v>0</v>
      </c>
      <c r="BG100" s="21">
        <f>F100*AN100</f>
        <v>0</v>
      </c>
      <c r="BH100" s="21">
        <f>F100*G100</f>
        <v>0</v>
      </c>
      <c r="BI100" s="23" t="s">
        <v>84</v>
      </c>
      <c r="BJ100" s="21">
        <v>7211</v>
      </c>
      <c r="BU100" s="21" t="e">
        <f>#REF!</f>
        <v>#REF!</v>
      </c>
      <c r="BV100" s="1" t="s">
        <v>268</v>
      </c>
    </row>
    <row r="101" spans="1:74" ht="15" customHeight="1" x14ac:dyDescent="0.25">
      <c r="A101" s="84"/>
      <c r="B101" s="135">
        <v>71</v>
      </c>
      <c r="C101" s="85" t="s">
        <v>269</v>
      </c>
      <c r="D101" s="136" t="s">
        <v>270</v>
      </c>
      <c r="E101" s="85" t="s">
        <v>118</v>
      </c>
      <c r="F101" s="137">
        <v>1.89</v>
      </c>
      <c r="G101" s="166">
        <v>0</v>
      </c>
      <c r="H101" s="137">
        <f>ROUND(F101*AM101,2)</f>
        <v>0</v>
      </c>
      <c r="I101" s="137">
        <f>ROUND(F101*AN101,2)</f>
        <v>0</v>
      </c>
      <c r="J101" s="138">
        <f>ROUND(F101*G101,2)</f>
        <v>0</v>
      </c>
      <c r="K101" s="139"/>
      <c r="L101" s="21">
        <v>0</v>
      </c>
      <c r="M101" s="21">
        <f>F101*L101</f>
        <v>0</v>
      </c>
      <c r="N101" s="22" t="s">
        <v>79</v>
      </c>
      <c r="X101" s="21">
        <f>ROUND(IF(AO101="5",BH101,0),2)</f>
        <v>0</v>
      </c>
      <c r="Z101" s="21">
        <f>ROUND(IF(AO101="1",BF101,0),2)</f>
        <v>0</v>
      </c>
      <c r="AA101" s="21">
        <f>ROUND(IF(AO101="1",BG101,0),2)</f>
        <v>0</v>
      </c>
      <c r="AB101" s="21">
        <f>ROUND(IF(AO101="7",BF101,0),2)</f>
        <v>0</v>
      </c>
      <c r="AC101" s="21">
        <f>ROUND(IF(AO101="7",BG101,0),2)</f>
        <v>0</v>
      </c>
      <c r="AD101" s="21">
        <f>ROUND(IF(AO101="2",BF101,0),2)</f>
        <v>0</v>
      </c>
      <c r="AE101" s="21">
        <f>ROUND(IF(AO101="2",BG101,0),2)</f>
        <v>0</v>
      </c>
      <c r="AF101" s="21">
        <f>ROUND(IF(AO101="0",BH101,0),2)</f>
        <v>0</v>
      </c>
      <c r="AG101" s="12" t="s">
        <v>3</v>
      </c>
      <c r="AH101" s="21">
        <f>IF(AL101=0,J101,0)</f>
        <v>0</v>
      </c>
      <c r="AI101" s="21">
        <f>IF(AL101=12,J101,0)</f>
        <v>0</v>
      </c>
      <c r="AJ101" s="21">
        <f>IF(AL101=21,J101,0)</f>
        <v>0</v>
      </c>
      <c r="AL101" s="21">
        <v>21</v>
      </c>
      <c r="AM101" s="21">
        <f>G101*0</f>
        <v>0</v>
      </c>
      <c r="AN101" s="21">
        <f>G101*(1-0)</f>
        <v>0</v>
      </c>
      <c r="AO101" s="23" t="s">
        <v>94</v>
      </c>
      <c r="AT101" s="21">
        <f>ROUND(AU101+AV101,2)</f>
        <v>0</v>
      </c>
      <c r="AU101" s="21">
        <f>ROUND(F101*AM101,2)</f>
        <v>0</v>
      </c>
      <c r="AV101" s="21">
        <f>ROUND(F101*AN101,2)</f>
        <v>0</v>
      </c>
      <c r="AW101" s="23" t="s">
        <v>198</v>
      </c>
      <c r="AX101" s="23" t="s">
        <v>82</v>
      </c>
      <c r="AY101" s="12" t="s">
        <v>83</v>
      </c>
      <c r="BA101" s="21">
        <f>AU101+AV101</f>
        <v>0</v>
      </c>
      <c r="BB101" s="21">
        <f>G101/(100-BC101)*100</f>
        <v>0</v>
      </c>
      <c r="BC101" s="21">
        <v>0</v>
      </c>
      <c r="BD101" s="21">
        <f>M101</f>
        <v>0</v>
      </c>
      <c r="BF101" s="21">
        <f>F101*AM101</f>
        <v>0</v>
      </c>
      <c r="BG101" s="21">
        <f>F101*AN101</f>
        <v>0</v>
      </c>
      <c r="BH101" s="21">
        <f>F101*G101</f>
        <v>0</v>
      </c>
      <c r="BI101" s="23" t="s">
        <v>84</v>
      </c>
      <c r="BJ101" s="21">
        <v>7211</v>
      </c>
      <c r="BU101" s="21" t="e">
        <f>#REF!</f>
        <v>#REF!</v>
      </c>
      <c r="BV101" s="1" t="s">
        <v>270</v>
      </c>
    </row>
    <row r="102" spans="1:74" x14ac:dyDescent="0.25">
      <c r="A102" s="84"/>
      <c r="B102" s="140" t="s">
        <v>3</v>
      </c>
      <c r="C102" s="121" t="s">
        <v>271</v>
      </c>
      <c r="D102" s="122" t="s">
        <v>272</v>
      </c>
      <c r="E102" s="120" t="s">
        <v>41</v>
      </c>
      <c r="F102" s="120" t="s">
        <v>41</v>
      </c>
      <c r="G102" s="167" t="s">
        <v>41</v>
      </c>
      <c r="H102" s="123">
        <f>SUM(H103:H120)</f>
        <v>0</v>
      </c>
      <c r="I102" s="123">
        <f>SUM(I103:I120)</f>
        <v>0</v>
      </c>
      <c r="J102" s="141">
        <f>SUM(J103:J120)</f>
        <v>0</v>
      </c>
      <c r="K102" s="124"/>
      <c r="L102" s="12" t="s">
        <v>3</v>
      </c>
      <c r="M102" s="10">
        <f>SUM(M103:M120)</f>
        <v>0.70274999999999999</v>
      </c>
      <c r="N102" s="20" t="s">
        <v>3</v>
      </c>
      <c r="AG102" s="12" t="s">
        <v>3</v>
      </c>
      <c r="AQ102" s="10">
        <f>SUM(AH103:AH120)</f>
        <v>0</v>
      </c>
      <c r="AR102" s="10">
        <f>SUM(AI103:AI120)</f>
        <v>0</v>
      </c>
      <c r="AS102" s="10">
        <f>SUM(AJ103:AJ120)</f>
        <v>0</v>
      </c>
    </row>
    <row r="103" spans="1:74" x14ac:dyDescent="0.25">
      <c r="A103" s="84"/>
      <c r="B103" s="135">
        <v>72</v>
      </c>
      <c r="C103" s="85" t="s">
        <v>273</v>
      </c>
      <c r="D103" s="136" t="s">
        <v>274</v>
      </c>
      <c r="E103" s="85" t="s">
        <v>78</v>
      </c>
      <c r="F103" s="137">
        <v>2</v>
      </c>
      <c r="G103" s="166">
        <v>0</v>
      </c>
      <c r="H103" s="137">
        <f>ROUND(F103*AM103,2)</f>
        <v>0</v>
      </c>
      <c r="I103" s="137">
        <f>ROUND(F103*AN103,2)</f>
        <v>0</v>
      </c>
      <c r="J103" s="138">
        <f>ROUND(F103*G103,2)</f>
        <v>0</v>
      </c>
      <c r="K103" s="139"/>
      <c r="L103" s="21">
        <v>1.4500000000000001E-2</v>
      </c>
      <c r="M103" s="21">
        <f>F103*L103</f>
        <v>2.9000000000000001E-2</v>
      </c>
      <c r="N103" s="22" t="s">
        <v>79</v>
      </c>
      <c r="X103" s="21">
        <f>ROUND(IF(AO103="5",BH103,0),2)</f>
        <v>0</v>
      </c>
      <c r="Z103" s="21">
        <f>ROUND(IF(AO103="1",BF103,0),2)</f>
        <v>0</v>
      </c>
      <c r="AA103" s="21">
        <f>ROUND(IF(AO103="1",BG103,0),2)</f>
        <v>0</v>
      </c>
      <c r="AB103" s="21">
        <f>ROUND(IF(AO103="7",BF103,0),2)</f>
        <v>0</v>
      </c>
      <c r="AC103" s="21">
        <f>ROUND(IF(AO103="7",BG103,0),2)</f>
        <v>0</v>
      </c>
      <c r="AD103" s="21">
        <f>ROUND(IF(AO103="2",BF103,0),2)</f>
        <v>0</v>
      </c>
      <c r="AE103" s="21">
        <f>ROUND(IF(AO103="2",BG103,0),2)</f>
        <v>0</v>
      </c>
      <c r="AF103" s="21">
        <f>ROUND(IF(AO103="0",BH103,0),2)</f>
        <v>0</v>
      </c>
      <c r="AG103" s="12" t="s">
        <v>3</v>
      </c>
      <c r="AH103" s="21">
        <f>IF(AL103=0,J103,0)</f>
        <v>0</v>
      </c>
      <c r="AI103" s="21">
        <f>IF(AL103=12,J103,0)</f>
        <v>0</v>
      </c>
      <c r="AJ103" s="21">
        <f>IF(AL103=21,J103,0)</f>
        <v>0</v>
      </c>
      <c r="AL103" s="21">
        <v>21</v>
      </c>
      <c r="AM103" s="21">
        <f>G103*0.292180556</f>
        <v>0</v>
      </c>
      <c r="AN103" s="21">
        <f>G103*(1-0.292180556)</f>
        <v>0</v>
      </c>
      <c r="AO103" s="23" t="s">
        <v>80</v>
      </c>
      <c r="AT103" s="21">
        <f>ROUND(AU103+AV103,2)</f>
        <v>0</v>
      </c>
      <c r="AU103" s="21">
        <f>ROUND(F103*AM103,2)</f>
        <v>0</v>
      </c>
      <c r="AV103" s="21">
        <f>ROUND(F103*AN103,2)</f>
        <v>0</v>
      </c>
      <c r="AW103" s="23" t="s">
        <v>275</v>
      </c>
      <c r="AX103" s="23" t="s">
        <v>82</v>
      </c>
      <c r="AY103" s="12" t="s">
        <v>83</v>
      </c>
      <c r="BA103" s="21">
        <f>AU103+AV103</f>
        <v>0</v>
      </c>
      <c r="BB103" s="21">
        <f>G103/(100-BC103)*100</f>
        <v>0</v>
      </c>
      <c r="BC103" s="21">
        <v>0</v>
      </c>
      <c r="BD103" s="21">
        <f>M103</f>
        <v>2.9000000000000001E-2</v>
      </c>
      <c r="BF103" s="21">
        <f>F103*AM103</f>
        <v>0</v>
      </c>
      <c r="BG103" s="21">
        <f>F103*AN103</f>
        <v>0</v>
      </c>
      <c r="BH103" s="21">
        <f>F103*G103</f>
        <v>0</v>
      </c>
      <c r="BI103" s="23" t="s">
        <v>84</v>
      </c>
      <c r="BJ103" s="21">
        <v>724</v>
      </c>
      <c r="BU103" s="21" t="e">
        <f>#REF!</f>
        <v>#REF!</v>
      </c>
      <c r="BV103" s="1" t="s">
        <v>274</v>
      </c>
    </row>
    <row r="104" spans="1:74" ht="18" customHeight="1" x14ac:dyDescent="0.25">
      <c r="A104" s="84"/>
      <c r="B104" s="144"/>
      <c r="C104" s="145" t="s">
        <v>123</v>
      </c>
      <c r="D104" s="147" t="s">
        <v>276</v>
      </c>
      <c r="E104" s="147"/>
      <c r="F104" s="147"/>
      <c r="G104" s="168"/>
      <c r="H104" s="147"/>
      <c r="I104" s="147"/>
      <c r="J104" s="148"/>
      <c r="K104" s="149"/>
      <c r="L104" s="29"/>
      <c r="M104" s="29"/>
      <c r="N104" s="30"/>
    </row>
    <row r="105" spans="1:74" x14ac:dyDescent="0.25">
      <c r="A105" s="84"/>
      <c r="B105" s="135">
        <v>73</v>
      </c>
      <c r="C105" s="85" t="s">
        <v>277</v>
      </c>
      <c r="D105" s="136" t="s">
        <v>278</v>
      </c>
      <c r="E105" s="85" t="s">
        <v>78</v>
      </c>
      <c r="F105" s="137">
        <v>3</v>
      </c>
      <c r="G105" s="166">
        <v>0</v>
      </c>
      <c r="H105" s="137">
        <f>ROUND(F105*AM105,2)</f>
        <v>0</v>
      </c>
      <c r="I105" s="137">
        <f>ROUND(F105*AN105,2)</f>
        <v>0</v>
      </c>
      <c r="J105" s="138">
        <f>ROUND(F105*G105,2)</f>
        <v>0</v>
      </c>
      <c r="K105" s="139"/>
      <c r="L105" s="21">
        <v>1.2579999999999999E-2</v>
      </c>
      <c r="M105" s="21">
        <f>F105*L105</f>
        <v>3.7739999999999996E-2</v>
      </c>
      <c r="N105" s="22" t="s">
        <v>79</v>
      </c>
      <c r="X105" s="21">
        <f>ROUND(IF(AO105="5",BH105,0),2)</f>
        <v>0</v>
      </c>
      <c r="Z105" s="21">
        <f>ROUND(IF(AO105="1",BF105,0),2)</f>
        <v>0</v>
      </c>
      <c r="AA105" s="21">
        <f>ROUND(IF(AO105="1",BG105,0),2)</f>
        <v>0</v>
      </c>
      <c r="AB105" s="21">
        <f>ROUND(IF(AO105="7",BF105,0),2)</f>
        <v>0</v>
      </c>
      <c r="AC105" s="21">
        <f>ROUND(IF(AO105="7",BG105,0),2)</f>
        <v>0</v>
      </c>
      <c r="AD105" s="21">
        <f>ROUND(IF(AO105="2",BF105,0),2)</f>
        <v>0</v>
      </c>
      <c r="AE105" s="21">
        <f>ROUND(IF(AO105="2",BG105,0),2)</f>
        <v>0</v>
      </c>
      <c r="AF105" s="21">
        <f>ROUND(IF(AO105="0",BH105,0),2)</f>
        <v>0</v>
      </c>
      <c r="AG105" s="12" t="s">
        <v>3</v>
      </c>
      <c r="AH105" s="21">
        <f>IF(AL105=0,J105,0)</f>
        <v>0</v>
      </c>
      <c r="AI105" s="21">
        <f>IF(AL105=12,J105,0)</f>
        <v>0</v>
      </c>
      <c r="AJ105" s="21">
        <f>IF(AL105=21,J105,0)</f>
        <v>0</v>
      </c>
      <c r="AL105" s="21">
        <v>21</v>
      </c>
      <c r="AM105" s="21">
        <f>G105*0.340727273</f>
        <v>0</v>
      </c>
      <c r="AN105" s="21">
        <f>G105*(1-0.340727273)</f>
        <v>0</v>
      </c>
      <c r="AO105" s="23" t="s">
        <v>80</v>
      </c>
      <c r="AT105" s="21">
        <f>ROUND(AU105+AV105,2)</f>
        <v>0</v>
      </c>
      <c r="AU105" s="21">
        <f>ROUND(F105*AM105,2)</f>
        <v>0</v>
      </c>
      <c r="AV105" s="21">
        <f>ROUND(F105*AN105,2)</f>
        <v>0</v>
      </c>
      <c r="AW105" s="23" t="s">
        <v>275</v>
      </c>
      <c r="AX105" s="23" t="s">
        <v>82</v>
      </c>
      <c r="AY105" s="12" t="s">
        <v>83</v>
      </c>
      <c r="BA105" s="21">
        <f>AU105+AV105</f>
        <v>0</v>
      </c>
      <c r="BB105" s="21">
        <f>G105/(100-BC105)*100</f>
        <v>0</v>
      </c>
      <c r="BC105" s="21">
        <v>0</v>
      </c>
      <c r="BD105" s="21">
        <f>M105</f>
        <v>3.7739999999999996E-2</v>
      </c>
      <c r="BF105" s="21">
        <f>F105*AM105</f>
        <v>0</v>
      </c>
      <c r="BG105" s="21">
        <f>F105*AN105</f>
        <v>0</v>
      </c>
      <c r="BH105" s="21">
        <f>F105*G105</f>
        <v>0</v>
      </c>
      <c r="BI105" s="23" t="s">
        <v>84</v>
      </c>
      <c r="BJ105" s="21">
        <v>724</v>
      </c>
      <c r="BU105" s="21" t="e">
        <f>#REF!</f>
        <v>#REF!</v>
      </c>
      <c r="BV105" s="1" t="s">
        <v>278</v>
      </c>
    </row>
    <row r="106" spans="1:74" ht="15" customHeight="1" x14ac:dyDescent="0.25">
      <c r="A106" s="84"/>
      <c r="B106" s="144"/>
      <c r="C106" s="145" t="s">
        <v>132</v>
      </c>
      <c r="D106" s="146" t="s">
        <v>279</v>
      </c>
      <c r="E106" s="147"/>
      <c r="F106" s="147"/>
      <c r="G106" s="168"/>
      <c r="H106" s="147"/>
      <c r="I106" s="147"/>
      <c r="J106" s="148"/>
      <c r="K106" s="149"/>
      <c r="L106" s="29"/>
      <c r="M106" s="29"/>
      <c r="N106" s="30"/>
      <c r="BV106" s="24" t="s">
        <v>279</v>
      </c>
    </row>
    <row r="107" spans="1:74" x14ac:dyDescent="0.25">
      <c r="A107" s="84"/>
      <c r="B107" s="135">
        <v>74</v>
      </c>
      <c r="C107" s="85" t="s">
        <v>280</v>
      </c>
      <c r="D107" s="136" t="s">
        <v>281</v>
      </c>
      <c r="E107" s="85" t="s">
        <v>78</v>
      </c>
      <c r="F107" s="137">
        <v>11</v>
      </c>
      <c r="G107" s="166">
        <v>0</v>
      </c>
      <c r="H107" s="137">
        <f>ROUND(F107*AM107,2)</f>
        <v>0</v>
      </c>
      <c r="I107" s="137">
        <f>ROUND(F107*AN107,2)</f>
        <v>0</v>
      </c>
      <c r="J107" s="138">
        <f>ROUND(F107*G107,2)</f>
        <v>0</v>
      </c>
      <c r="K107" s="139"/>
      <c r="L107" s="21">
        <v>1.4749999999999999E-2</v>
      </c>
      <c r="M107" s="21">
        <f>F107*L107</f>
        <v>0.16225000000000001</v>
      </c>
      <c r="N107" s="22" t="s">
        <v>79</v>
      </c>
      <c r="X107" s="21">
        <f>ROUND(IF(AO107="5",BH107,0),2)</f>
        <v>0</v>
      </c>
      <c r="Z107" s="21">
        <f>ROUND(IF(AO107="1",BF107,0),2)</f>
        <v>0</v>
      </c>
      <c r="AA107" s="21">
        <f>ROUND(IF(AO107="1",BG107,0),2)</f>
        <v>0</v>
      </c>
      <c r="AB107" s="21">
        <f>ROUND(IF(AO107="7",BF107,0),2)</f>
        <v>0</v>
      </c>
      <c r="AC107" s="21">
        <f>ROUND(IF(AO107="7",BG107,0),2)</f>
        <v>0</v>
      </c>
      <c r="AD107" s="21">
        <f>ROUND(IF(AO107="2",BF107,0),2)</f>
        <v>0</v>
      </c>
      <c r="AE107" s="21">
        <f>ROUND(IF(AO107="2",BG107,0),2)</f>
        <v>0</v>
      </c>
      <c r="AF107" s="21">
        <f>ROUND(IF(AO107="0",BH107,0),2)</f>
        <v>0</v>
      </c>
      <c r="AG107" s="12" t="s">
        <v>3</v>
      </c>
      <c r="AH107" s="21">
        <f>IF(AL107=0,J107,0)</f>
        <v>0</v>
      </c>
      <c r="AI107" s="21">
        <f>IF(AL107=12,J107,0)</f>
        <v>0</v>
      </c>
      <c r="AJ107" s="21">
        <f>IF(AL107=21,J107,0)</f>
        <v>0</v>
      </c>
      <c r="AL107" s="21">
        <v>21</v>
      </c>
      <c r="AM107" s="21">
        <f>G107*0.384926829</f>
        <v>0</v>
      </c>
      <c r="AN107" s="21">
        <f>G107*(1-0.384926829)</f>
        <v>0</v>
      </c>
      <c r="AO107" s="23" t="s">
        <v>80</v>
      </c>
      <c r="AT107" s="21">
        <f>ROUND(AU107+AV107,2)</f>
        <v>0</v>
      </c>
      <c r="AU107" s="21">
        <f>ROUND(F107*AM107,2)</f>
        <v>0</v>
      </c>
      <c r="AV107" s="21">
        <f>ROUND(F107*AN107,2)</f>
        <v>0</v>
      </c>
      <c r="AW107" s="23" t="s">
        <v>275</v>
      </c>
      <c r="AX107" s="23" t="s">
        <v>82</v>
      </c>
      <c r="AY107" s="12" t="s">
        <v>83</v>
      </c>
      <c r="BA107" s="21">
        <f>AU107+AV107</f>
        <v>0</v>
      </c>
      <c r="BB107" s="21">
        <f>G107/(100-BC107)*100</f>
        <v>0</v>
      </c>
      <c r="BC107" s="21">
        <v>0</v>
      </c>
      <c r="BD107" s="21">
        <f>M107</f>
        <v>0.16225000000000001</v>
      </c>
      <c r="BF107" s="21">
        <f>F107*AM107</f>
        <v>0</v>
      </c>
      <c r="BG107" s="21">
        <f>F107*AN107</f>
        <v>0</v>
      </c>
      <c r="BH107" s="21">
        <f>F107*G107</f>
        <v>0</v>
      </c>
      <c r="BI107" s="23" t="s">
        <v>84</v>
      </c>
      <c r="BJ107" s="21">
        <v>724</v>
      </c>
      <c r="BU107" s="21" t="e">
        <f>#REF!</f>
        <v>#REF!</v>
      </c>
      <c r="BV107" s="1" t="s">
        <v>281</v>
      </c>
    </row>
    <row r="108" spans="1:74" ht="15.75" customHeight="1" x14ac:dyDescent="0.25">
      <c r="A108" s="84"/>
      <c r="B108" s="144"/>
      <c r="C108" s="145" t="s">
        <v>123</v>
      </c>
      <c r="D108" s="147" t="s">
        <v>276</v>
      </c>
      <c r="E108" s="147"/>
      <c r="F108" s="147"/>
      <c r="G108" s="168"/>
      <c r="H108" s="147"/>
      <c r="I108" s="147"/>
      <c r="J108" s="148"/>
      <c r="K108" s="149"/>
      <c r="L108" s="29"/>
      <c r="M108" s="29"/>
      <c r="N108" s="30"/>
    </row>
    <row r="109" spans="1:74" x14ac:dyDescent="0.25">
      <c r="A109" s="84"/>
      <c r="B109" s="135">
        <v>75</v>
      </c>
      <c r="C109" s="85" t="s">
        <v>282</v>
      </c>
      <c r="D109" s="136" t="s">
        <v>283</v>
      </c>
      <c r="E109" s="85" t="s">
        <v>78</v>
      </c>
      <c r="F109" s="137">
        <v>21</v>
      </c>
      <c r="G109" s="166">
        <v>0</v>
      </c>
      <c r="H109" s="137">
        <f>ROUND(F109*AM109,2)</f>
        <v>0</v>
      </c>
      <c r="I109" s="137">
        <f>ROUND(F109*AN109,2)</f>
        <v>0</v>
      </c>
      <c r="J109" s="138">
        <f>ROUND(F109*G109,2)</f>
        <v>0</v>
      </c>
      <c r="K109" s="139"/>
      <c r="L109" s="21">
        <v>2.163E-2</v>
      </c>
      <c r="M109" s="21">
        <f>F109*L109</f>
        <v>0.45423000000000002</v>
      </c>
      <c r="N109" s="22" t="s">
        <v>79</v>
      </c>
      <c r="X109" s="21">
        <f>ROUND(IF(AO109="5",BH109,0),2)</f>
        <v>0</v>
      </c>
      <c r="Z109" s="21">
        <f>ROUND(IF(AO109="1",BF109,0),2)</f>
        <v>0</v>
      </c>
      <c r="AA109" s="21">
        <f>ROUND(IF(AO109="1",BG109,0),2)</f>
        <v>0</v>
      </c>
      <c r="AB109" s="21">
        <f>ROUND(IF(AO109="7",BF109,0),2)</f>
        <v>0</v>
      </c>
      <c r="AC109" s="21">
        <f>ROUND(IF(AO109="7",BG109,0),2)</f>
        <v>0</v>
      </c>
      <c r="AD109" s="21">
        <f>ROUND(IF(AO109="2",BF109,0),2)</f>
        <v>0</v>
      </c>
      <c r="AE109" s="21">
        <f>ROUND(IF(AO109="2",BG109,0),2)</f>
        <v>0</v>
      </c>
      <c r="AF109" s="21">
        <f>ROUND(IF(AO109="0",BH109,0),2)</f>
        <v>0</v>
      </c>
      <c r="AG109" s="12" t="s">
        <v>3</v>
      </c>
      <c r="AH109" s="21">
        <f>IF(AL109=0,J109,0)</f>
        <v>0</v>
      </c>
      <c r="AI109" s="21">
        <f>IF(AL109=12,J109,0)</f>
        <v>0</v>
      </c>
      <c r="AJ109" s="21">
        <f>IF(AL109=21,J109,0)</f>
        <v>0</v>
      </c>
      <c r="AL109" s="21">
        <v>21</v>
      </c>
      <c r="AM109" s="21">
        <f>G109*0.398072013</f>
        <v>0</v>
      </c>
      <c r="AN109" s="21">
        <f>G109*(1-0.398072013)</f>
        <v>0</v>
      </c>
      <c r="AO109" s="23" t="s">
        <v>80</v>
      </c>
      <c r="AT109" s="21">
        <f>ROUND(AU109+AV109,2)</f>
        <v>0</v>
      </c>
      <c r="AU109" s="21">
        <f>ROUND(F109*AM109,2)</f>
        <v>0</v>
      </c>
      <c r="AV109" s="21">
        <f>ROUND(F109*AN109,2)</f>
        <v>0</v>
      </c>
      <c r="AW109" s="23" t="s">
        <v>275</v>
      </c>
      <c r="AX109" s="23" t="s">
        <v>82</v>
      </c>
      <c r="AY109" s="12" t="s">
        <v>83</v>
      </c>
      <c r="BA109" s="21">
        <f>AU109+AV109</f>
        <v>0</v>
      </c>
      <c r="BB109" s="21">
        <f>G109/(100-BC109)*100</f>
        <v>0</v>
      </c>
      <c r="BC109" s="21">
        <v>0</v>
      </c>
      <c r="BD109" s="21">
        <f>M109</f>
        <v>0.45423000000000002</v>
      </c>
      <c r="BF109" s="21">
        <f>F109*AM109</f>
        <v>0</v>
      </c>
      <c r="BG109" s="21">
        <f>F109*AN109</f>
        <v>0</v>
      </c>
      <c r="BH109" s="21">
        <f>F109*G109</f>
        <v>0</v>
      </c>
      <c r="BI109" s="23" t="s">
        <v>84</v>
      </c>
      <c r="BJ109" s="21">
        <v>724</v>
      </c>
      <c r="BU109" s="21" t="e">
        <f>#REF!</f>
        <v>#REF!</v>
      </c>
      <c r="BV109" s="1" t="s">
        <v>283</v>
      </c>
    </row>
    <row r="110" spans="1:74" ht="17.25" customHeight="1" x14ac:dyDescent="0.25">
      <c r="A110" s="84"/>
      <c r="B110" s="144"/>
      <c r="C110" s="145" t="s">
        <v>123</v>
      </c>
      <c r="D110" s="147" t="s">
        <v>276</v>
      </c>
      <c r="E110" s="147"/>
      <c r="F110" s="147"/>
      <c r="G110" s="168"/>
      <c r="H110" s="147"/>
      <c r="I110" s="147"/>
      <c r="J110" s="148"/>
      <c r="K110" s="149"/>
      <c r="L110" s="29"/>
      <c r="M110" s="29"/>
      <c r="N110" s="30"/>
    </row>
    <row r="111" spans="1:74" x14ac:dyDescent="0.25">
      <c r="A111" s="84"/>
      <c r="B111" s="135">
        <v>76</v>
      </c>
      <c r="C111" s="85" t="s">
        <v>284</v>
      </c>
      <c r="D111" s="136" t="s">
        <v>285</v>
      </c>
      <c r="E111" s="85" t="s">
        <v>286</v>
      </c>
      <c r="F111" s="137">
        <v>37</v>
      </c>
      <c r="G111" s="166">
        <v>0</v>
      </c>
      <c r="H111" s="137">
        <f>ROUND(F111*AM111,2)</f>
        <v>0</v>
      </c>
      <c r="I111" s="137">
        <f>ROUND(F111*AN111,2)</f>
        <v>0</v>
      </c>
      <c r="J111" s="138">
        <f>ROUND(F111*G111,2)</f>
        <v>0</v>
      </c>
      <c r="K111" s="139"/>
      <c r="L111" s="21">
        <v>0</v>
      </c>
      <c r="M111" s="21">
        <f>F111*L111</f>
        <v>0</v>
      </c>
      <c r="N111" s="22" t="s">
        <v>79</v>
      </c>
      <c r="X111" s="21">
        <f>ROUND(IF(AO111="5",BH111,0),2)</f>
        <v>0</v>
      </c>
      <c r="Z111" s="21">
        <f>ROUND(IF(AO111="1",BF111,0),2)</f>
        <v>0</v>
      </c>
      <c r="AA111" s="21">
        <f>ROUND(IF(AO111="1",BG111,0),2)</f>
        <v>0</v>
      </c>
      <c r="AB111" s="21">
        <f>ROUND(IF(AO111="7",BF111,0),2)</f>
        <v>0</v>
      </c>
      <c r="AC111" s="21">
        <f>ROUND(IF(AO111="7",BG111,0),2)</f>
        <v>0</v>
      </c>
      <c r="AD111" s="21">
        <f>ROUND(IF(AO111="2",BF111,0),2)</f>
        <v>0</v>
      </c>
      <c r="AE111" s="21">
        <f>ROUND(IF(AO111="2",BG111,0),2)</f>
        <v>0</v>
      </c>
      <c r="AF111" s="21">
        <f>ROUND(IF(AO111="0",BH111,0),2)</f>
        <v>0</v>
      </c>
      <c r="AG111" s="12" t="s">
        <v>3</v>
      </c>
      <c r="AH111" s="21">
        <f>IF(AL111=0,J111,0)</f>
        <v>0</v>
      </c>
      <c r="AI111" s="21">
        <f>IF(AL111=12,J111,0)</f>
        <v>0</v>
      </c>
      <c r="AJ111" s="21">
        <f>IF(AL111=21,J111,0)</f>
        <v>0</v>
      </c>
      <c r="AL111" s="21">
        <v>21</v>
      </c>
      <c r="AM111" s="21">
        <f>G111*0</f>
        <v>0</v>
      </c>
      <c r="AN111" s="21">
        <f>G111*(1-0)</f>
        <v>0</v>
      </c>
      <c r="AO111" s="23" t="s">
        <v>80</v>
      </c>
      <c r="AT111" s="21">
        <f>ROUND(AU111+AV111,2)</f>
        <v>0</v>
      </c>
      <c r="AU111" s="21">
        <f>ROUND(F111*AM111,2)</f>
        <v>0</v>
      </c>
      <c r="AV111" s="21">
        <f>ROUND(F111*AN111,2)</f>
        <v>0</v>
      </c>
      <c r="AW111" s="23" t="s">
        <v>275</v>
      </c>
      <c r="AX111" s="23" t="s">
        <v>82</v>
      </c>
      <c r="AY111" s="12" t="s">
        <v>83</v>
      </c>
      <c r="BA111" s="21">
        <f>AU111+AV111</f>
        <v>0</v>
      </c>
      <c r="BB111" s="21">
        <f>G111/(100-BC111)*100</f>
        <v>0</v>
      </c>
      <c r="BC111" s="21">
        <v>0</v>
      </c>
      <c r="BD111" s="21">
        <f>M111</f>
        <v>0</v>
      </c>
      <c r="BF111" s="21">
        <f>F111*AM111</f>
        <v>0</v>
      </c>
      <c r="BG111" s="21">
        <f>F111*AN111</f>
        <v>0</v>
      </c>
      <c r="BH111" s="21">
        <f>F111*G111</f>
        <v>0</v>
      </c>
      <c r="BI111" s="23" t="s">
        <v>84</v>
      </c>
      <c r="BJ111" s="21">
        <v>724</v>
      </c>
      <c r="BU111" s="21" t="e">
        <f>#REF!</f>
        <v>#REF!</v>
      </c>
      <c r="BV111" s="1" t="s">
        <v>285</v>
      </c>
    </row>
    <row r="112" spans="1:74" ht="15" customHeight="1" x14ac:dyDescent="0.25">
      <c r="A112" s="84"/>
      <c r="B112" s="135">
        <v>77</v>
      </c>
      <c r="C112" s="85" t="s">
        <v>287</v>
      </c>
      <c r="D112" s="136" t="s">
        <v>288</v>
      </c>
      <c r="E112" s="85" t="s">
        <v>78</v>
      </c>
      <c r="F112" s="137">
        <v>8</v>
      </c>
      <c r="G112" s="166">
        <v>0</v>
      </c>
      <c r="H112" s="137">
        <f>ROUND(F112*AM112,2)</f>
        <v>0</v>
      </c>
      <c r="I112" s="137">
        <f>ROUND(F112*AN112,2)</f>
        <v>0</v>
      </c>
      <c r="J112" s="138">
        <f>ROUND(F112*G112,2)</f>
        <v>0</v>
      </c>
      <c r="K112" s="139"/>
      <c r="L112" s="21">
        <v>1.0000000000000001E-5</v>
      </c>
      <c r="M112" s="21">
        <f>F112*L112</f>
        <v>8.0000000000000007E-5</v>
      </c>
      <c r="N112" s="22" t="s">
        <v>3</v>
      </c>
      <c r="X112" s="21">
        <f>ROUND(IF(AO112="5",BH112,0),2)</f>
        <v>0</v>
      </c>
      <c r="Z112" s="21">
        <f>ROUND(IF(AO112="1",BF112,0),2)</f>
        <v>0</v>
      </c>
      <c r="AA112" s="21">
        <f>ROUND(IF(AO112="1",BG112,0),2)</f>
        <v>0</v>
      </c>
      <c r="AB112" s="21">
        <f>ROUND(IF(AO112="7",BF112,0),2)</f>
        <v>0</v>
      </c>
      <c r="AC112" s="21">
        <f>ROUND(IF(AO112="7",BG112,0),2)</f>
        <v>0</v>
      </c>
      <c r="AD112" s="21">
        <f>ROUND(IF(AO112="2",BF112,0),2)</f>
        <v>0</v>
      </c>
      <c r="AE112" s="21">
        <f>ROUND(IF(AO112="2",BG112,0),2)</f>
        <v>0</v>
      </c>
      <c r="AF112" s="21">
        <f>ROUND(IF(AO112="0",BH112,0),2)</f>
        <v>0</v>
      </c>
      <c r="AG112" s="12" t="s">
        <v>3</v>
      </c>
      <c r="AH112" s="21">
        <f>IF(AL112=0,J112,0)</f>
        <v>0</v>
      </c>
      <c r="AI112" s="21">
        <f>IF(AL112=12,J112,0)</f>
        <v>0</v>
      </c>
      <c r="AJ112" s="21">
        <f>IF(AL112=21,J112,0)</f>
        <v>0</v>
      </c>
      <c r="AL112" s="21">
        <v>21</v>
      </c>
      <c r="AM112" s="21">
        <f>G112*0.049226714</f>
        <v>0</v>
      </c>
      <c r="AN112" s="21">
        <f>G112*(1-0.049226714)</f>
        <v>0</v>
      </c>
      <c r="AO112" s="23" t="s">
        <v>80</v>
      </c>
      <c r="AT112" s="21">
        <f>ROUND(AU112+AV112,2)</f>
        <v>0</v>
      </c>
      <c r="AU112" s="21">
        <f>ROUND(F112*AM112,2)</f>
        <v>0</v>
      </c>
      <c r="AV112" s="21">
        <f>ROUND(F112*AN112,2)</f>
        <v>0</v>
      </c>
      <c r="AW112" s="23" t="s">
        <v>275</v>
      </c>
      <c r="AX112" s="23" t="s">
        <v>82</v>
      </c>
      <c r="AY112" s="12" t="s">
        <v>83</v>
      </c>
      <c r="BA112" s="21">
        <f>AU112+AV112</f>
        <v>0</v>
      </c>
      <c r="BB112" s="21">
        <f>G112/(100-BC112)*100</f>
        <v>0</v>
      </c>
      <c r="BC112" s="21">
        <v>0</v>
      </c>
      <c r="BD112" s="21">
        <f>M112</f>
        <v>8.0000000000000007E-5</v>
      </c>
      <c r="BF112" s="21">
        <f>F112*AM112</f>
        <v>0</v>
      </c>
      <c r="BG112" s="21">
        <f>F112*AN112</f>
        <v>0</v>
      </c>
      <c r="BH112" s="21">
        <f>F112*G112</f>
        <v>0</v>
      </c>
      <c r="BI112" s="23" t="s">
        <v>84</v>
      </c>
      <c r="BJ112" s="21">
        <v>724</v>
      </c>
      <c r="BU112" s="21" t="e">
        <f>#REF!</f>
        <v>#REF!</v>
      </c>
      <c r="BV112" s="1" t="s">
        <v>288</v>
      </c>
    </row>
    <row r="113" spans="1:74" ht="13.5" customHeight="1" x14ac:dyDescent="0.25">
      <c r="A113" s="84"/>
      <c r="B113" s="144"/>
      <c r="C113" s="145" t="s">
        <v>123</v>
      </c>
      <c r="D113" s="146" t="s">
        <v>289</v>
      </c>
      <c r="E113" s="147"/>
      <c r="F113" s="147"/>
      <c r="G113" s="168"/>
      <c r="H113" s="147"/>
      <c r="I113" s="147"/>
      <c r="J113" s="148"/>
      <c r="K113" s="149"/>
      <c r="L113" s="29"/>
      <c r="M113" s="29"/>
      <c r="N113" s="30"/>
    </row>
    <row r="114" spans="1:74" ht="15" customHeight="1" x14ac:dyDescent="0.25">
      <c r="A114" s="84"/>
      <c r="B114" s="135">
        <v>78</v>
      </c>
      <c r="C114" s="85" t="s">
        <v>290</v>
      </c>
      <c r="D114" s="136" t="s">
        <v>291</v>
      </c>
      <c r="E114" s="85" t="s">
        <v>120</v>
      </c>
      <c r="F114" s="137">
        <v>1</v>
      </c>
      <c r="G114" s="166">
        <v>0</v>
      </c>
      <c r="H114" s="137">
        <f>ROUND(F114*AM114,2)</f>
        <v>0</v>
      </c>
      <c r="I114" s="137">
        <f>ROUND(F114*AN114,2)</f>
        <v>0</v>
      </c>
      <c r="J114" s="138">
        <f>ROUND(F114*G114,2)</f>
        <v>0</v>
      </c>
      <c r="K114" s="139"/>
      <c r="L114" s="21">
        <v>1.0000000000000001E-5</v>
      </c>
      <c r="M114" s="21">
        <f>F114*L114</f>
        <v>1.0000000000000001E-5</v>
      </c>
      <c r="N114" s="22" t="s">
        <v>3</v>
      </c>
      <c r="X114" s="21">
        <f>ROUND(IF(AO114="5",BH114,0),2)</f>
        <v>0</v>
      </c>
      <c r="Z114" s="21">
        <f>ROUND(IF(AO114="1",BF114,0),2)</f>
        <v>0</v>
      </c>
      <c r="AA114" s="21">
        <f>ROUND(IF(AO114="1",BG114,0),2)</f>
        <v>0</v>
      </c>
      <c r="AB114" s="21">
        <f>ROUND(IF(AO114="7",BF114,0),2)</f>
        <v>0</v>
      </c>
      <c r="AC114" s="21">
        <f>ROUND(IF(AO114="7",BG114,0),2)</f>
        <v>0</v>
      </c>
      <c r="AD114" s="21">
        <f>ROUND(IF(AO114="2",BF114,0),2)</f>
        <v>0</v>
      </c>
      <c r="AE114" s="21">
        <f>ROUND(IF(AO114="2",BG114,0),2)</f>
        <v>0</v>
      </c>
      <c r="AF114" s="21">
        <f>ROUND(IF(AO114="0",BH114,0),2)</f>
        <v>0</v>
      </c>
      <c r="AG114" s="12" t="s">
        <v>3</v>
      </c>
      <c r="AH114" s="21">
        <f>IF(AL114=0,J114,0)</f>
        <v>0</v>
      </c>
      <c r="AI114" s="21">
        <f>IF(AL114=12,J114,0)</f>
        <v>0</v>
      </c>
      <c r="AJ114" s="21">
        <f>IF(AL114=21,J114,0)</f>
        <v>0</v>
      </c>
      <c r="AL114" s="21">
        <v>21</v>
      </c>
      <c r="AM114" s="21">
        <f>G114*0.049211111</f>
        <v>0</v>
      </c>
      <c r="AN114" s="21">
        <f>G114*(1-0.049211111)</f>
        <v>0</v>
      </c>
      <c r="AO114" s="23" t="s">
        <v>80</v>
      </c>
      <c r="AT114" s="21">
        <f>ROUND(AU114+AV114,2)</f>
        <v>0</v>
      </c>
      <c r="AU114" s="21">
        <f>ROUND(F114*AM114,2)</f>
        <v>0</v>
      </c>
      <c r="AV114" s="21">
        <f>ROUND(F114*AN114,2)</f>
        <v>0</v>
      </c>
      <c r="AW114" s="23" t="s">
        <v>275</v>
      </c>
      <c r="AX114" s="23" t="s">
        <v>82</v>
      </c>
      <c r="AY114" s="12" t="s">
        <v>83</v>
      </c>
      <c r="BA114" s="21">
        <f>AU114+AV114</f>
        <v>0</v>
      </c>
      <c r="BB114" s="21">
        <f>G114/(100-BC114)*100</f>
        <v>0</v>
      </c>
      <c r="BC114" s="21">
        <v>0</v>
      </c>
      <c r="BD114" s="21">
        <f>M114</f>
        <v>1.0000000000000001E-5</v>
      </c>
      <c r="BF114" s="21">
        <f>F114*AM114</f>
        <v>0</v>
      </c>
      <c r="BG114" s="21">
        <f>F114*AN114</f>
        <v>0</v>
      </c>
      <c r="BH114" s="21">
        <f>F114*G114</f>
        <v>0</v>
      </c>
      <c r="BI114" s="23" t="s">
        <v>84</v>
      </c>
      <c r="BJ114" s="21">
        <v>724</v>
      </c>
      <c r="BU114" s="21" t="e">
        <f>#REF!</f>
        <v>#REF!</v>
      </c>
      <c r="BV114" s="1" t="s">
        <v>291</v>
      </c>
    </row>
    <row r="115" spans="1:74" ht="15.75" customHeight="1" x14ac:dyDescent="0.25">
      <c r="A115" s="84"/>
      <c r="B115" s="144"/>
      <c r="C115" s="145" t="s">
        <v>123</v>
      </c>
      <c r="D115" s="147" t="s">
        <v>239</v>
      </c>
      <c r="E115" s="147"/>
      <c r="F115" s="147"/>
      <c r="G115" s="168"/>
      <c r="H115" s="147"/>
      <c r="I115" s="147"/>
      <c r="J115" s="148"/>
      <c r="K115" s="149"/>
      <c r="L115" s="29"/>
      <c r="M115" s="29"/>
      <c r="N115" s="30"/>
    </row>
    <row r="116" spans="1:74" ht="15" customHeight="1" x14ac:dyDescent="0.25">
      <c r="A116" s="84"/>
      <c r="B116" s="135">
        <v>79</v>
      </c>
      <c r="C116" s="85" t="s">
        <v>292</v>
      </c>
      <c r="D116" s="136" t="s">
        <v>293</v>
      </c>
      <c r="E116" s="85" t="s">
        <v>120</v>
      </c>
      <c r="F116" s="137">
        <v>1</v>
      </c>
      <c r="G116" s="166">
        <v>0</v>
      </c>
      <c r="H116" s="137">
        <f>ROUND(F116*AM116,2)</f>
        <v>0</v>
      </c>
      <c r="I116" s="137">
        <f>ROUND(F116*AN116,2)</f>
        <v>0</v>
      </c>
      <c r="J116" s="138">
        <f>ROUND(F116*G116,2)</f>
        <v>0</v>
      </c>
      <c r="K116" s="139"/>
      <c r="L116" s="21">
        <v>0</v>
      </c>
      <c r="M116" s="21">
        <f>F116*L116</f>
        <v>0</v>
      </c>
      <c r="N116" s="22" t="s">
        <v>3</v>
      </c>
      <c r="X116" s="21">
        <f>ROUND(IF(AO116="5",BH116,0),2)</f>
        <v>0</v>
      </c>
      <c r="Z116" s="21">
        <f>ROUND(IF(AO116="1",BF116,0),2)</f>
        <v>0</v>
      </c>
      <c r="AA116" s="21">
        <f>ROUND(IF(AO116="1",BG116,0),2)</f>
        <v>0</v>
      </c>
      <c r="AB116" s="21">
        <f>ROUND(IF(AO116="7",BF116,0),2)</f>
        <v>0</v>
      </c>
      <c r="AC116" s="21">
        <f>ROUND(IF(AO116="7",BG116,0),2)</f>
        <v>0</v>
      </c>
      <c r="AD116" s="21">
        <f>ROUND(IF(AO116="2",BF116,0),2)</f>
        <v>0</v>
      </c>
      <c r="AE116" s="21">
        <f>ROUND(IF(AO116="2",BG116,0),2)</f>
        <v>0</v>
      </c>
      <c r="AF116" s="21">
        <f>ROUND(IF(AO116="0",BH116,0),2)</f>
        <v>0</v>
      </c>
      <c r="AG116" s="12" t="s">
        <v>3</v>
      </c>
      <c r="AH116" s="21">
        <f>IF(AL116=0,J116,0)</f>
        <v>0</v>
      </c>
      <c r="AI116" s="21">
        <f>IF(AL116=12,J116,0)</f>
        <v>0</v>
      </c>
      <c r="AJ116" s="21">
        <f>IF(AL116=21,J116,0)</f>
        <v>0</v>
      </c>
      <c r="AL116" s="21">
        <v>21</v>
      </c>
      <c r="AM116" s="21">
        <f>G116*0.873109231</f>
        <v>0</v>
      </c>
      <c r="AN116" s="21">
        <f>G116*(1-0.873109231)</f>
        <v>0</v>
      </c>
      <c r="AO116" s="23" t="s">
        <v>80</v>
      </c>
      <c r="AT116" s="21">
        <f>ROUND(AU116+AV116,2)</f>
        <v>0</v>
      </c>
      <c r="AU116" s="21">
        <f>ROUND(F116*AM116,2)</f>
        <v>0</v>
      </c>
      <c r="AV116" s="21">
        <f>ROUND(F116*AN116,2)</f>
        <v>0</v>
      </c>
      <c r="AW116" s="23" t="s">
        <v>275</v>
      </c>
      <c r="AX116" s="23" t="s">
        <v>82</v>
      </c>
      <c r="AY116" s="12" t="s">
        <v>83</v>
      </c>
      <c r="BA116" s="21">
        <f>AU116+AV116</f>
        <v>0</v>
      </c>
      <c r="BB116" s="21">
        <f>G116/(100-BC116)*100</f>
        <v>0</v>
      </c>
      <c r="BC116" s="21">
        <v>0</v>
      </c>
      <c r="BD116" s="21">
        <f>M116</f>
        <v>0</v>
      </c>
      <c r="BF116" s="21">
        <f>F116*AM116</f>
        <v>0</v>
      </c>
      <c r="BG116" s="21">
        <f>F116*AN116</f>
        <v>0</v>
      </c>
      <c r="BH116" s="21">
        <f>F116*G116</f>
        <v>0</v>
      </c>
      <c r="BI116" s="23" t="s">
        <v>84</v>
      </c>
      <c r="BJ116" s="21">
        <v>724</v>
      </c>
      <c r="BU116" s="21" t="e">
        <f>#REF!</f>
        <v>#REF!</v>
      </c>
      <c r="BV116" s="1" t="s">
        <v>293</v>
      </c>
    </row>
    <row r="117" spans="1:74" x14ac:dyDescent="0.25">
      <c r="A117" s="84"/>
      <c r="B117" s="135">
        <v>80</v>
      </c>
      <c r="C117" s="85" t="s">
        <v>294</v>
      </c>
      <c r="D117" s="136" t="s">
        <v>295</v>
      </c>
      <c r="E117" s="85" t="s">
        <v>78</v>
      </c>
      <c r="F117" s="137">
        <v>37</v>
      </c>
      <c r="G117" s="166">
        <v>0</v>
      </c>
      <c r="H117" s="137">
        <f>ROUND(F117*AM117,2)</f>
        <v>0</v>
      </c>
      <c r="I117" s="137">
        <f>ROUND(F117*AN117,2)</f>
        <v>0</v>
      </c>
      <c r="J117" s="138">
        <f>ROUND(F117*G117,2)</f>
        <v>0</v>
      </c>
      <c r="K117" s="139"/>
      <c r="L117" s="21">
        <v>0</v>
      </c>
      <c r="M117" s="21">
        <f>F117*L117</f>
        <v>0</v>
      </c>
      <c r="N117" s="22" t="s">
        <v>79</v>
      </c>
      <c r="X117" s="21">
        <f>ROUND(IF(AO117="5",BH117,0),2)</f>
        <v>0</v>
      </c>
      <c r="Z117" s="21">
        <f>ROUND(IF(AO117="1",BF117,0),2)</f>
        <v>0</v>
      </c>
      <c r="AA117" s="21">
        <f>ROUND(IF(AO117="1",BG117,0),2)</f>
        <v>0</v>
      </c>
      <c r="AB117" s="21">
        <f>ROUND(IF(AO117="7",BF117,0),2)</f>
        <v>0</v>
      </c>
      <c r="AC117" s="21">
        <f>ROUND(IF(AO117="7",BG117,0),2)</f>
        <v>0</v>
      </c>
      <c r="AD117" s="21">
        <f>ROUND(IF(AO117="2",BF117,0),2)</f>
        <v>0</v>
      </c>
      <c r="AE117" s="21">
        <f>ROUND(IF(AO117="2",BG117,0),2)</f>
        <v>0</v>
      </c>
      <c r="AF117" s="21">
        <f>ROUND(IF(AO117="0",BH117,0),2)</f>
        <v>0</v>
      </c>
      <c r="AG117" s="12" t="s">
        <v>3</v>
      </c>
      <c r="AH117" s="21">
        <f>IF(AL117=0,J117,0)</f>
        <v>0</v>
      </c>
      <c r="AI117" s="21">
        <f>IF(AL117=12,J117,0)</f>
        <v>0</v>
      </c>
      <c r="AJ117" s="21">
        <f>IF(AL117=21,J117,0)</f>
        <v>0</v>
      </c>
      <c r="AL117" s="21">
        <v>21</v>
      </c>
      <c r="AM117" s="21">
        <f>G117*0</f>
        <v>0</v>
      </c>
      <c r="AN117" s="21">
        <f>G117*(1-0)</f>
        <v>0</v>
      </c>
      <c r="AO117" s="23" t="s">
        <v>80</v>
      </c>
      <c r="AT117" s="21">
        <f>ROUND(AU117+AV117,2)</f>
        <v>0</v>
      </c>
      <c r="AU117" s="21">
        <f>ROUND(F117*AM117,2)</f>
        <v>0</v>
      </c>
      <c r="AV117" s="21">
        <f>ROUND(F117*AN117,2)</f>
        <v>0</v>
      </c>
      <c r="AW117" s="23" t="s">
        <v>275</v>
      </c>
      <c r="AX117" s="23" t="s">
        <v>82</v>
      </c>
      <c r="AY117" s="12" t="s">
        <v>83</v>
      </c>
      <c r="BA117" s="21">
        <f>AU117+AV117</f>
        <v>0</v>
      </c>
      <c r="BB117" s="21">
        <f>G117/(100-BC117)*100</f>
        <v>0</v>
      </c>
      <c r="BC117" s="21">
        <v>0</v>
      </c>
      <c r="BD117" s="21">
        <f>M117</f>
        <v>0</v>
      </c>
      <c r="BF117" s="21">
        <f>F117*AM117</f>
        <v>0</v>
      </c>
      <c r="BG117" s="21">
        <f>F117*AN117</f>
        <v>0</v>
      </c>
      <c r="BH117" s="21">
        <f>F117*G117</f>
        <v>0</v>
      </c>
      <c r="BI117" s="23" t="s">
        <v>84</v>
      </c>
      <c r="BJ117" s="21">
        <v>724</v>
      </c>
      <c r="BU117" s="21" t="e">
        <f>#REF!</f>
        <v>#REF!</v>
      </c>
      <c r="BV117" s="1" t="s">
        <v>295</v>
      </c>
    </row>
    <row r="118" spans="1:74" ht="15" customHeight="1" x14ac:dyDescent="0.25">
      <c r="A118" s="84"/>
      <c r="B118" s="135">
        <v>81</v>
      </c>
      <c r="C118" s="85" t="s">
        <v>296</v>
      </c>
      <c r="D118" s="136" t="s">
        <v>297</v>
      </c>
      <c r="E118" s="85" t="s">
        <v>78</v>
      </c>
      <c r="F118" s="137">
        <v>37</v>
      </c>
      <c r="G118" s="166">
        <v>0</v>
      </c>
      <c r="H118" s="137">
        <f>ROUND(F118*AM118,2)</f>
        <v>0</v>
      </c>
      <c r="I118" s="137">
        <f>ROUND(F118*AN118,2)</f>
        <v>0</v>
      </c>
      <c r="J118" s="138">
        <f>ROUND(F118*G118,2)</f>
        <v>0</v>
      </c>
      <c r="K118" s="139"/>
      <c r="L118" s="21">
        <v>1.2E-4</v>
      </c>
      <c r="M118" s="21">
        <f>F118*L118</f>
        <v>4.4400000000000004E-3</v>
      </c>
      <c r="N118" s="22" t="s">
        <v>79</v>
      </c>
      <c r="X118" s="21">
        <f>ROUND(IF(AO118="5",BH118,0),2)</f>
        <v>0</v>
      </c>
      <c r="Z118" s="21">
        <f>ROUND(IF(AO118="1",BF118,0),2)</f>
        <v>0</v>
      </c>
      <c r="AA118" s="21">
        <f>ROUND(IF(AO118="1",BG118,0),2)</f>
        <v>0</v>
      </c>
      <c r="AB118" s="21">
        <f>ROUND(IF(AO118="7",BF118,0),2)</f>
        <v>0</v>
      </c>
      <c r="AC118" s="21">
        <f>ROUND(IF(AO118="7",BG118,0),2)</f>
        <v>0</v>
      </c>
      <c r="AD118" s="21">
        <f>ROUND(IF(AO118="2",BF118,0),2)</f>
        <v>0</v>
      </c>
      <c r="AE118" s="21">
        <f>ROUND(IF(AO118="2",BG118,0),2)</f>
        <v>0</v>
      </c>
      <c r="AF118" s="21">
        <f>ROUND(IF(AO118="0",BH118,0),2)</f>
        <v>0</v>
      </c>
      <c r="AG118" s="12" t="s">
        <v>3</v>
      </c>
      <c r="AH118" s="21">
        <f>IF(AL118=0,J118,0)</f>
        <v>0</v>
      </c>
      <c r="AI118" s="21">
        <f>IF(AL118=12,J118,0)</f>
        <v>0</v>
      </c>
      <c r="AJ118" s="21">
        <f>IF(AL118=21,J118,0)</f>
        <v>0</v>
      </c>
      <c r="AL118" s="21">
        <v>21</v>
      </c>
      <c r="AM118" s="21">
        <f>G118*0.198211382</f>
        <v>0</v>
      </c>
      <c r="AN118" s="21">
        <f>G118*(1-0.198211382)</f>
        <v>0</v>
      </c>
      <c r="AO118" s="23" t="s">
        <v>80</v>
      </c>
      <c r="AT118" s="21">
        <f>ROUND(AU118+AV118,2)</f>
        <v>0</v>
      </c>
      <c r="AU118" s="21">
        <f>ROUND(F118*AM118,2)</f>
        <v>0</v>
      </c>
      <c r="AV118" s="21">
        <f>ROUND(F118*AN118,2)</f>
        <v>0</v>
      </c>
      <c r="AW118" s="23" t="s">
        <v>275</v>
      </c>
      <c r="AX118" s="23" t="s">
        <v>82</v>
      </c>
      <c r="AY118" s="12" t="s">
        <v>83</v>
      </c>
      <c r="BA118" s="21">
        <f>AU118+AV118</f>
        <v>0</v>
      </c>
      <c r="BB118" s="21">
        <f>G118/(100-BC118)*100</f>
        <v>0</v>
      </c>
      <c r="BC118" s="21">
        <v>0</v>
      </c>
      <c r="BD118" s="21">
        <f>M118</f>
        <v>4.4400000000000004E-3</v>
      </c>
      <c r="BF118" s="21">
        <f>F118*AM118</f>
        <v>0</v>
      </c>
      <c r="BG118" s="21">
        <f>F118*AN118</f>
        <v>0</v>
      </c>
      <c r="BH118" s="21">
        <f>F118*G118</f>
        <v>0</v>
      </c>
      <c r="BI118" s="23" t="s">
        <v>84</v>
      </c>
      <c r="BJ118" s="21">
        <v>724</v>
      </c>
      <c r="BU118" s="21" t="e">
        <f>#REF!</f>
        <v>#REF!</v>
      </c>
      <c r="BV118" s="1" t="s">
        <v>297</v>
      </c>
    </row>
    <row r="119" spans="1:74" ht="15" customHeight="1" x14ac:dyDescent="0.25">
      <c r="A119" s="84"/>
      <c r="B119" s="135">
        <v>82</v>
      </c>
      <c r="C119" s="85" t="s">
        <v>298</v>
      </c>
      <c r="D119" s="136" t="s">
        <v>299</v>
      </c>
      <c r="E119" s="85" t="s">
        <v>118</v>
      </c>
      <c r="F119" s="137">
        <v>0.69</v>
      </c>
      <c r="G119" s="166">
        <v>0</v>
      </c>
      <c r="H119" s="137">
        <f>ROUND(F119*AM119,2)</f>
        <v>0</v>
      </c>
      <c r="I119" s="137">
        <f>ROUND(F119*AN119,2)</f>
        <v>0</v>
      </c>
      <c r="J119" s="138">
        <f>ROUND(F119*G119,2)</f>
        <v>0</v>
      </c>
      <c r="K119" s="139"/>
      <c r="L119" s="21">
        <v>0</v>
      </c>
      <c r="M119" s="21">
        <f>F119*L119</f>
        <v>0</v>
      </c>
      <c r="N119" s="22" t="s">
        <v>79</v>
      </c>
      <c r="X119" s="21">
        <f>ROUND(IF(AO119="5",BH119,0),2)</f>
        <v>0</v>
      </c>
      <c r="Z119" s="21">
        <f>ROUND(IF(AO119="1",BF119,0),2)</f>
        <v>0</v>
      </c>
      <c r="AA119" s="21">
        <f>ROUND(IF(AO119="1",BG119,0),2)</f>
        <v>0</v>
      </c>
      <c r="AB119" s="21">
        <f>ROUND(IF(AO119="7",BF119,0),2)</f>
        <v>0</v>
      </c>
      <c r="AC119" s="21">
        <f>ROUND(IF(AO119="7",BG119,0),2)</f>
        <v>0</v>
      </c>
      <c r="AD119" s="21">
        <f>ROUND(IF(AO119="2",BF119,0),2)</f>
        <v>0</v>
      </c>
      <c r="AE119" s="21">
        <f>ROUND(IF(AO119="2",BG119,0),2)</f>
        <v>0</v>
      </c>
      <c r="AF119" s="21">
        <f>ROUND(IF(AO119="0",BH119,0),2)</f>
        <v>0</v>
      </c>
      <c r="AG119" s="12" t="s">
        <v>3</v>
      </c>
      <c r="AH119" s="21">
        <f>IF(AL119=0,J119,0)</f>
        <v>0</v>
      </c>
      <c r="AI119" s="21">
        <f>IF(AL119=12,J119,0)</f>
        <v>0</v>
      </c>
      <c r="AJ119" s="21">
        <f>IF(AL119=21,J119,0)</f>
        <v>0</v>
      </c>
      <c r="AL119" s="21">
        <v>21</v>
      </c>
      <c r="AM119" s="21">
        <f>G119*0</f>
        <v>0</v>
      </c>
      <c r="AN119" s="21">
        <f>G119*(1-0)</f>
        <v>0</v>
      </c>
      <c r="AO119" s="23" t="s">
        <v>94</v>
      </c>
      <c r="AT119" s="21">
        <f>ROUND(AU119+AV119,2)</f>
        <v>0</v>
      </c>
      <c r="AU119" s="21">
        <f>ROUND(F119*AM119,2)</f>
        <v>0</v>
      </c>
      <c r="AV119" s="21">
        <f>ROUND(F119*AN119,2)</f>
        <v>0</v>
      </c>
      <c r="AW119" s="23" t="s">
        <v>275</v>
      </c>
      <c r="AX119" s="23" t="s">
        <v>82</v>
      </c>
      <c r="AY119" s="12" t="s">
        <v>83</v>
      </c>
      <c r="BA119" s="21">
        <f>AU119+AV119</f>
        <v>0</v>
      </c>
      <c r="BB119" s="21">
        <f>G119/(100-BC119)*100</f>
        <v>0</v>
      </c>
      <c r="BC119" s="21">
        <v>0</v>
      </c>
      <c r="BD119" s="21">
        <f>M119</f>
        <v>0</v>
      </c>
      <c r="BF119" s="21">
        <f>F119*AM119</f>
        <v>0</v>
      </c>
      <c r="BG119" s="21">
        <f>F119*AN119</f>
        <v>0</v>
      </c>
      <c r="BH119" s="21">
        <f>F119*G119</f>
        <v>0</v>
      </c>
      <c r="BI119" s="23" t="s">
        <v>84</v>
      </c>
      <c r="BJ119" s="21">
        <v>724</v>
      </c>
      <c r="BU119" s="21" t="e">
        <f>#REF!</f>
        <v>#REF!</v>
      </c>
      <c r="BV119" s="1" t="s">
        <v>299</v>
      </c>
    </row>
    <row r="120" spans="1:74" x14ac:dyDescent="0.25">
      <c r="A120" s="84"/>
      <c r="B120" s="135">
        <v>83</v>
      </c>
      <c r="C120" s="85" t="s">
        <v>300</v>
      </c>
      <c r="D120" s="136" t="s">
        <v>301</v>
      </c>
      <c r="E120" s="85" t="s">
        <v>78</v>
      </c>
      <c r="F120" s="137">
        <v>1.5</v>
      </c>
      <c r="G120" s="166">
        <v>0</v>
      </c>
      <c r="H120" s="137">
        <f>ROUND(F120*AM120,2)</f>
        <v>0</v>
      </c>
      <c r="I120" s="137">
        <f>ROUND(F120*AN120,2)</f>
        <v>0</v>
      </c>
      <c r="J120" s="138">
        <f>ROUND(F120*G120,2)</f>
        <v>0</v>
      </c>
      <c r="K120" s="139"/>
      <c r="L120" s="21">
        <v>0.01</v>
      </c>
      <c r="M120" s="21">
        <f>F120*L120</f>
        <v>1.4999999999999999E-2</v>
      </c>
      <c r="N120" s="22" t="s">
        <v>79</v>
      </c>
      <c r="X120" s="21">
        <f>ROUND(IF(AO120="5",BH120,0),2)</f>
        <v>0</v>
      </c>
      <c r="Z120" s="21">
        <f>ROUND(IF(AO120="1",BF120,0),2)</f>
        <v>0</v>
      </c>
      <c r="AA120" s="21">
        <f>ROUND(IF(AO120="1",BG120,0),2)</f>
        <v>0</v>
      </c>
      <c r="AB120" s="21">
        <f>ROUND(IF(AO120="7",BF120,0),2)</f>
        <v>0</v>
      </c>
      <c r="AC120" s="21">
        <f>ROUND(IF(AO120="7",BG120,0),2)</f>
        <v>0</v>
      </c>
      <c r="AD120" s="21">
        <f>ROUND(IF(AO120="2",BF120,0),2)</f>
        <v>0</v>
      </c>
      <c r="AE120" s="21">
        <f>ROUND(IF(AO120="2",BG120,0),2)</f>
        <v>0</v>
      </c>
      <c r="AF120" s="21">
        <f>ROUND(IF(AO120="0",BH120,0),2)</f>
        <v>0</v>
      </c>
      <c r="AG120" s="12" t="s">
        <v>3</v>
      </c>
      <c r="AH120" s="21">
        <f>IF(AL120=0,J120,0)</f>
        <v>0</v>
      </c>
      <c r="AI120" s="21">
        <f>IF(AL120=12,J120,0)</f>
        <v>0</v>
      </c>
      <c r="AJ120" s="21">
        <f>IF(AL120=21,J120,0)</f>
        <v>0</v>
      </c>
      <c r="AL120" s="21">
        <v>21</v>
      </c>
      <c r="AM120" s="21">
        <f>G120*0.58699672</f>
        <v>0</v>
      </c>
      <c r="AN120" s="21">
        <f>G120*(1-0.58699672)</f>
        <v>0</v>
      </c>
      <c r="AO120" s="23" t="s">
        <v>80</v>
      </c>
      <c r="AT120" s="21">
        <f>ROUND(AU120+AV120,2)</f>
        <v>0</v>
      </c>
      <c r="AU120" s="21">
        <f>ROUND(F120*AM120,2)</f>
        <v>0</v>
      </c>
      <c r="AV120" s="21">
        <f>ROUND(F120*AN120,2)</f>
        <v>0</v>
      </c>
      <c r="AW120" s="23" t="s">
        <v>275</v>
      </c>
      <c r="AX120" s="23" t="s">
        <v>82</v>
      </c>
      <c r="AY120" s="12" t="s">
        <v>83</v>
      </c>
      <c r="BA120" s="21">
        <f>AU120+AV120</f>
        <v>0</v>
      </c>
      <c r="BB120" s="21">
        <f>G120/(100-BC120)*100</f>
        <v>0</v>
      </c>
      <c r="BC120" s="21">
        <v>0</v>
      </c>
      <c r="BD120" s="21">
        <f>M120</f>
        <v>1.4999999999999999E-2</v>
      </c>
      <c r="BF120" s="21">
        <f>F120*AM120</f>
        <v>0</v>
      </c>
      <c r="BG120" s="21">
        <f>F120*AN120</f>
        <v>0</v>
      </c>
      <c r="BH120" s="21">
        <f>F120*G120</f>
        <v>0</v>
      </c>
      <c r="BI120" s="23" t="s">
        <v>84</v>
      </c>
      <c r="BJ120" s="21">
        <v>724</v>
      </c>
      <c r="BU120" s="21" t="e">
        <f>#REF!</f>
        <v>#REF!</v>
      </c>
      <c r="BV120" s="1" t="s">
        <v>301</v>
      </c>
    </row>
    <row r="121" spans="1:74" x14ac:dyDescent="0.25">
      <c r="A121" s="84"/>
      <c r="B121" s="140" t="s">
        <v>3</v>
      </c>
      <c r="C121" s="121" t="s">
        <v>302</v>
      </c>
      <c r="D121" s="122" t="s">
        <v>303</v>
      </c>
      <c r="E121" s="120" t="s">
        <v>41</v>
      </c>
      <c r="F121" s="120" t="s">
        <v>41</v>
      </c>
      <c r="G121" s="167" t="s">
        <v>41</v>
      </c>
      <c r="H121" s="123">
        <f>SUM(H122:H134)</f>
        <v>0</v>
      </c>
      <c r="I121" s="123">
        <f>SUM(I122:I134)</f>
        <v>0</v>
      </c>
      <c r="J121" s="141">
        <f>SUM(J122:J134)</f>
        <v>0</v>
      </c>
      <c r="K121" s="124"/>
      <c r="L121" s="12" t="s">
        <v>3</v>
      </c>
      <c r="M121" s="10">
        <f>SUM(M122:M134)</f>
        <v>6.5900000000000004E-3</v>
      </c>
      <c r="N121" s="20" t="s">
        <v>3</v>
      </c>
      <c r="AG121" s="12" t="s">
        <v>3</v>
      </c>
      <c r="AQ121" s="10">
        <f>SUM(AH122:AH134)</f>
        <v>0</v>
      </c>
      <c r="AR121" s="10">
        <f>SUM(AI122:AI134)</f>
        <v>0</v>
      </c>
      <c r="AS121" s="10">
        <f>SUM(AJ122:AJ134)</f>
        <v>0</v>
      </c>
    </row>
    <row r="122" spans="1:74" ht="15" customHeight="1" x14ac:dyDescent="0.25">
      <c r="A122" s="84"/>
      <c r="B122" s="135">
        <v>84</v>
      </c>
      <c r="C122" s="85" t="s">
        <v>304</v>
      </c>
      <c r="D122" s="136" t="s">
        <v>305</v>
      </c>
      <c r="E122" s="85" t="s">
        <v>122</v>
      </c>
      <c r="F122" s="137">
        <v>1</v>
      </c>
      <c r="G122" s="166">
        <v>0</v>
      </c>
      <c r="H122" s="137">
        <f>ROUND(F122*AM122,2)</f>
        <v>0</v>
      </c>
      <c r="I122" s="137">
        <f>ROUND(F122*AN122,2)</f>
        <v>0</v>
      </c>
      <c r="J122" s="138">
        <f>ROUND(F122*G122,2)</f>
        <v>0</v>
      </c>
      <c r="K122" s="139"/>
      <c r="L122" s="21">
        <v>6.6E-4</v>
      </c>
      <c r="M122" s="21">
        <f>F122*L122</f>
        <v>6.6E-4</v>
      </c>
      <c r="N122" s="22" t="s">
        <v>3</v>
      </c>
      <c r="X122" s="21">
        <f>ROUND(IF(AO122="5",BH122,0),2)</f>
        <v>0</v>
      </c>
      <c r="Z122" s="21">
        <f>ROUND(IF(AO122="1",BF122,0),2)</f>
        <v>0</v>
      </c>
      <c r="AA122" s="21">
        <f>ROUND(IF(AO122="1",BG122,0),2)</f>
        <v>0</v>
      </c>
      <c r="AB122" s="21">
        <f>ROUND(IF(AO122="7",BF122,0),2)</f>
        <v>0</v>
      </c>
      <c r="AC122" s="21">
        <f>ROUND(IF(AO122="7",BG122,0),2)</f>
        <v>0</v>
      </c>
      <c r="AD122" s="21">
        <f>ROUND(IF(AO122="2",BF122,0),2)</f>
        <v>0</v>
      </c>
      <c r="AE122" s="21">
        <f>ROUND(IF(AO122="2",BG122,0),2)</f>
        <v>0</v>
      </c>
      <c r="AF122" s="21">
        <f>ROUND(IF(AO122="0",BH122,0),2)</f>
        <v>0</v>
      </c>
      <c r="AG122" s="12" t="s">
        <v>3</v>
      </c>
      <c r="AH122" s="21">
        <f>IF(AL122=0,J122,0)</f>
        <v>0</v>
      </c>
      <c r="AI122" s="21">
        <f>IF(AL122=12,J122,0)</f>
        <v>0</v>
      </c>
      <c r="AJ122" s="21">
        <f>IF(AL122=21,J122,0)</f>
        <v>0</v>
      </c>
      <c r="AL122" s="21">
        <v>21</v>
      </c>
      <c r="AM122" s="21">
        <f>G122*0.880164747</f>
        <v>0</v>
      </c>
      <c r="AN122" s="21">
        <f>G122*(1-0.880164747)</f>
        <v>0</v>
      </c>
      <c r="AO122" s="23" t="s">
        <v>80</v>
      </c>
      <c r="AT122" s="21">
        <f>ROUND(AU122+AV122,2)</f>
        <v>0</v>
      </c>
      <c r="AU122" s="21">
        <f>ROUND(F122*AM122,2)</f>
        <v>0</v>
      </c>
      <c r="AV122" s="21">
        <f>ROUND(F122*AN122,2)</f>
        <v>0</v>
      </c>
      <c r="AW122" s="23" t="s">
        <v>306</v>
      </c>
      <c r="AX122" s="23" t="s">
        <v>307</v>
      </c>
      <c r="AY122" s="12" t="s">
        <v>83</v>
      </c>
      <c r="BA122" s="21">
        <f>AU122+AV122</f>
        <v>0</v>
      </c>
      <c r="BB122" s="21">
        <f>G122/(100-BC122)*100</f>
        <v>0</v>
      </c>
      <c r="BC122" s="21">
        <v>0</v>
      </c>
      <c r="BD122" s="21">
        <f>M122</f>
        <v>6.6E-4</v>
      </c>
      <c r="BF122" s="21">
        <f>F122*AM122</f>
        <v>0</v>
      </c>
      <c r="BG122" s="21">
        <f>F122*AN122</f>
        <v>0</v>
      </c>
      <c r="BH122" s="21">
        <f>F122*G122</f>
        <v>0</v>
      </c>
      <c r="BI122" s="23" t="s">
        <v>84</v>
      </c>
      <c r="BJ122" s="21">
        <v>734</v>
      </c>
      <c r="BU122" s="21" t="e">
        <f>#REF!</f>
        <v>#REF!</v>
      </c>
      <c r="BV122" s="1" t="s">
        <v>305</v>
      </c>
    </row>
    <row r="123" spans="1:74" ht="17.25" customHeight="1" x14ac:dyDescent="0.25">
      <c r="A123" s="84"/>
      <c r="B123" s="144"/>
      <c r="C123" s="145" t="s">
        <v>123</v>
      </c>
      <c r="D123" s="147" t="s">
        <v>308</v>
      </c>
      <c r="E123" s="147"/>
      <c r="F123" s="147"/>
      <c r="G123" s="168"/>
      <c r="H123" s="147"/>
      <c r="I123" s="147"/>
      <c r="J123" s="148"/>
      <c r="K123" s="149"/>
      <c r="L123" s="29"/>
      <c r="M123" s="29"/>
      <c r="N123" s="30"/>
    </row>
    <row r="124" spans="1:74" x14ac:dyDescent="0.25">
      <c r="A124" s="84"/>
      <c r="B124" s="135">
        <v>85</v>
      </c>
      <c r="C124" s="85" t="s">
        <v>309</v>
      </c>
      <c r="D124" s="136" t="s">
        <v>310</v>
      </c>
      <c r="E124" s="85" t="s">
        <v>122</v>
      </c>
      <c r="F124" s="137">
        <v>1</v>
      </c>
      <c r="G124" s="166">
        <v>0</v>
      </c>
      <c r="H124" s="137">
        <f>ROUND(F124*AM124,2)</f>
        <v>0</v>
      </c>
      <c r="I124" s="137">
        <f>ROUND(F124*AN124,2)</f>
        <v>0</v>
      </c>
      <c r="J124" s="138">
        <f>ROUND(F124*G124,2)</f>
        <v>0</v>
      </c>
      <c r="K124" s="139"/>
      <c r="L124" s="21">
        <v>3.6999999999999999E-4</v>
      </c>
      <c r="M124" s="21">
        <f>F124*L124</f>
        <v>3.6999999999999999E-4</v>
      </c>
      <c r="N124" s="22" t="s">
        <v>79</v>
      </c>
      <c r="X124" s="21">
        <f>ROUND(IF(AO124="5",BH124,0),2)</f>
        <v>0</v>
      </c>
      <c r="Z124" s="21">
        <f>ROUND(IF(AO124="1",BF124,0),2)</f>
        <v>0</v>
      </c>
      <c r="AA124" s="21">
        <f>ROUND(IF(AO124="1",BG124,0),2)</f>
        <v>0</v>
      </c>
      <c r="AB124" s="21">
        <f>ROUND(IF(AO124="7",BF124,0),2)</f>
        <v>0</v>
      </c>
      <c r="AC124" s="21">
        <f>ROUND(IF(AO124="7",BG124,0),2)</f>
        <v>0</v>
      </c>
      <c r="AD124" s="21">
        <f>ROUND(IF(AO124="2",BF124,0),2)</f>
        <v>0</v>
      </c>
      <c r="AE124" s="21">
        <f>ROUND(IF(AO124="2",BG124,0),2)</f>
        <v>0</v>
      </c>
      <c r="AF124" s="21">
        <f>ROUND(IF(AO124="0",BH124,0),2)</f>
        <v>0</v>
      </c>
      <c r="AG124" s="12" t="s">
        <v>3</v>
      </c>
      <c r="AH124" s="21">
        <f>IF(AL124=0,J124,0)</f>
        <v>0</v>
      </c>
      <c r="AI124" s="21">
        <f>IF(AL124=12,J124,0)</f>
        <v>0</v>
      </c>
      <c r="AJ124" s="21">
        <f>IF(AL124=21,J124,0)</f>
        <v>0</v>
      </c>
      <c r="AL124" s="21">
        <v>21</v>
      </c>
      <c r="AM124" s="21">
        <f>G124*0.760471125</f>
        <v>0</v>
      </c>
      <c r="AN124" s="21">
        <f>G124*(1-0.760471125)</f>
        <v>0</v>
      </c>
      <c r="AO124" s="23" t="s">
        <v>80</v>
      </c>
      <c r="AT124" s="21">
        <f>ROUND(AU124+AV124,2)</f>
        <v>0</v>
      </c>
      <c r="AU124" s="21">
        <f>ROUND(F124*AM124,2)</f>
        <v>0</v>
      </c>
      <c r="AV124" s="21">
        <f>ROUND(F124*AN124,2)</f>
        <v>0</v>
      </c>
      <c r="AW124" s="23" t="s">
        <v>306</v>
      </c>
      <c r="AX124" s="23" t="s">
        <v>307</v>
      </c>
      <c r="AY124" s="12" t="s">
        <v>83</v>
      </c>
      <c r="BA124" s="21">
        <f>AU124+AV124</f>
        <v>0</v>
      </c>
      <c r="BB124" s="21">
        <f>G124/(100-BC124)*100</f>
        <v>0</v>
      </c>
      <c r="BC124" s="21">
        <v>0</v>
      </c>
      <c r="BD124" s="21">
        <f>M124</f>
        <v>3.6999999999999999E-4</v>
      </c>
      <c r="BF124" s="21">
        <f>F124*AM124</f>
        <v>0</v>
      </c>
      <c r="BG124" s="21">
        <f>F124*AN124</f>
        <v>0</v>
      </c>
      <c r="BH124" s="21">
        <f>F124*G124</f>
        <v>0</v>
      </c>
      <c r="BI124" s="23" t="s">
        <v>84</v>
      </c>
      <c r="BJ124" s="21">
        <v>734</v>
      </c>
      <c r="BU124" s="21" t="e">
        <f>#REF!</f>
        <v>#REF!</v>
      </c>
      <c r="BV124" s="1" t="s">
        <v>310</v>
      </c>
    </row>
    <row r="125" spans="1:74" x14ac:dyDescent="0.25">
      <c r="A125" s="84"/>
      <c r="B125" s="135">
        <v>86</v>
      </c>
      <c r="C125" s="85" t="s">
        <v>311</v>
      </c>
      <c r="D125" s="136" t="s">
        <v>312</v>
      </c>
      <c r="E125" s="85" t="s">
        <v>122</v>
      </c>
      <c r="F125" s="137">
        <v>2</v>
      </c>
      <c r="G125" s="166">
        <v>0</v>
      </c>
      <c r="H125" s="137">
        <f>ROUND(F125*AM125,2)</f>
        <v>0</v>
      </c>
      <c r="I125" s="137">
        <f>ROUND(F125*AN125,2)</f>
        <v>0</v>
      </c>
      <c r="J125" s="138">
        <f>ROUND(F125*G125,2)</f>
        <v>0</v>
      </c>
      <c r="K125" s="139"/>
      <c r="L125" s="21">
        <v>6.6E-4</v>
      </c>
      <c r="M125" s="21">
        <f>F125*L125</f>
        <v>1.32E-3</v>
      </c>
      <c r="N125" s="22" t="s">
        <v>79</v>
      </c>
      <c r="X125" s="21">
        <f>ROUND(IF(AO125="5",BH125,0),2)</f>
        <v>0</v>
      </c>
      <c r="Z125" s="21">
        <f>ROUND(IF(AO125="1",BF125,0),2)</f>
        <v>0</v>
      </c>
      <c r="AA125" s="21">
        <f>ROUND(IF(AO125="1",BG125,0),2)</f>
        <v>0</v>
      </c>
      <c r="AB125" s="21">
        <f>ROUND(IF(AO125="7",BF125,0),2)</f>
        <v>0</v>
      </c>
      <c r="AC125" s="21">
        <f>ROUND(IF(AO125="7",BG125,0),2)</f>
        <v>0</v>
      </c>
      <c r="AD125" s="21">
        <f>ROUND(IF(AO125="2",BF125,0),2)</f>
        <v>0</v>
      </c>
      <c r="AE125" s="21">
        <f>ROUND(IF(AO125="2",BG125,0),2)</f>
        <v>0</v>
      </c>
      <c r="AF125" s="21">
        <f>ROUND(IF(AO125="0",BH125,0),2)</f>
        <v>0</v>
      </c>
      <c r="AG125" s="12" t="s">
        <v>3</v>
      </c>
      <c r="AH125" s="21">
        <f>IF(AL125=0,J125,0)</f>
        <v>0</v>
      </c>
      <c r="AI125" s="21">
        <f>IF(AL125=12,J125,0)</f>
        <v>0</v>
      </c>
      <c r="AJ125" s="21">
        <f>IF(AL125=21,J125,0)</f>
        <v>0</v>
      </c>
      <c r="AL125" s="21">
        <v>21</v>
      </c>
      <c r="AM125" s="21">
        <f>G125*0.829723821</f>
        <v>0</v>
      </c>
      <c r="AN125" s="21">
        <f>G125*(1-0.829723821)</f>
        <v>0</v>
      </c>
      <c r="AO125" s="23" t="s">
        <v>80</v>
      </c>
      <c r="AT125" s="21">
        <f>ROUND(AU125+AV125,2)</f>
        <v>0</v>
      </c>
      <c r="AU125" s="21">
        <f>ROUND(F125*AM125,2)</f>
        <v>0</v>
      </c>
      <c r="AV125" s="21">
        <f>ROUND(F125*AN125,2)</f>
        <v>0</v>
      </c>
      <c r="AW125" s="23" t="s">
        <v>306</v>
      </c>
      <c r="AX125" s="23" t="s">
        <v>307</v>
      </c>
      <c r="AY125" s="12" t="s">
        <v>83</v>
      </c>
      <c r="BA125" s="21">
        <f>AU125+AV125</f>
        <v>0</v>
      </c>
      <c r="BB125" s="21">
        <f>G125/(100-BC125)*100</f>
        <v>0</v>
      </c>
      <c r="BC125" s="21">
        <v>0</v>
      </c>
      <c r="BD125" s="21">
        <f>M125</f>
        <v>1.32E-3</v>
      </c>
      <c r="BF125" s="21">
        <f>F125*AM125</f>
        <v>0</v>
      </c>
      <c r="BG125" s="21">
        <f>F125*AN125</f>
        <v>0</v>
      </c>
      <c r="BH125" s="21">
        <f>F125*G125</f>
        <v>0</v>
      </c>
      <c r="BI125" s="23" t="s">
        <v>84</v>
      </c>
      <c r="BJ125" s="21">
        <v>734</v>
      </c>
      <c r="BU125" s="21" t="e">
        <f>#REF!</f>
        <v>#REF!</v>
      </c>
      <c r="BV125" s="1" t="s">
        <v>312</v>
      </c>
    </row>
    <row r="126" spans="1:74" x14ac:dyDescent="0.25">
      <c r="A126" s="84"/>
      <c r="B126" s="135">
        <v>87</v>
      </c>
      <c r="C126" s="85" t="s">
        <v>313</v>
      </c>
      <c r="D126" s="136" t="s">
        <v>314</v>
      </c>
      <c r="E126" s="85" t="s">
        <v>122</v>
      </c>
      <c r="F126" s="137">
        <v>2</v>
      </c>
      <c r="G126" s="166">
        <v>0</v>
      </c>
      <c r="H126" s="137">
        <f>ROUND(F126*AM126,2)</f>
        <v>0</v>
      </c>
      <c r="I126" s="137">
        <f>ROUND(F126*AN126,2)</f>
        <v>0</v>
      </c>
      <c r="J126" s="138">
        <f>ROUND(F126*G126,2)</f>
        <v>0</v>
      </c>
      <c r="K126" s="139"/>
      <c r="L126" s="21">
        <v>9.7000000000000005E-4</v>
      </c>
      <c r="M126" s="21">
        <f>F126*L126</f>
        <v>1.9400000000000001E-3</v>
      </c>
      <c r="N126" s="22" t="s">
        <v>79</v>
      </c>
      <c r="X126" s="21">
        <f>ROUND(IF(AO126="5",BH126,0),2)</f>
        <v>0</v>
      </c>
      <c r="Z126" s="21">
        <f>ROUND(IF(AO126="1",BF126,0),2)</f>
        <v>0</v>
      </c>
      <c r="AA126" s="21">
        <f>ROUND(IF(AO126="1",BG126,0),2)</f>
        <v>0</v>
      </c>
      <c r="AB126" s="21">
        <f>ROUND(IF(AO126="7",BF126,0),2)</f>
        <v>0</v>
      </c>
      <c r="AC126" s="21">
        <f>ROUND(IF(AO126="7",BG126,0),2)</f>
        <v>0</v>
      </c>
      <c r="AD126" s="21">
        <f>ROUND(IF(AO126="2",BF126,0),2)</f>
        <v>0</v>
      </c>
      <c r="AE126" s="21">
        <f>ROUND(IF(AO126="2",BG126,0),2)</f>
        <v>0</v>
      </c>
      <c r="AF126" s="21">
        <f>ROUND(IF(AO126="0",BH126,0),2)</f>
        <v>0</v>
      </c>
      <c r="AG126" s="12" t="s">
        <v>3</v>
      </c>
      <c r="AH126" s="21">
        <f>IF(AL126=0,J126,0)</f>
        <v>0</v>
      </c>
      <c r="AI126" s="21">
        <f>IF(AL126=12,J126,0)</f>
        <v>0</v>
      </c>
      <c r="AJ126" s="21">
        <f>IF(AL126=21,J126,0)</f>
        <v>0</v>
      </c>
      <c r="AL126" s="21">
        <v>21</v>
      </c>
      <c r="AM126" s="21">
        <f>G126*0.864707429</f>
        <v>0</v>
      </c>
      <c r="AN126" s="21">
        <f>G126*(1-0.864707429)</f>
        <v>0</v>
      </c>
      <c r="AO126" s="23" t="s">
        <v>80</v>
      </c>
      <c r="AT126" s="21">
        <f>ROUND(AU126+AV126,2)</f>
        <v>0</v>
      </c>
      <c r="AU126" s="21">
        <f>ROUND(F126*AM126,2)</f>
        <v>0</v>
      </c>
      <c r="AV126" s="21">
        <f>ROUND(F126*AN126,2)</f>
        <v>0</v>
      </c>
      <c r="AW126" s="23" t="s">
        <v>306</v>
      </c>
      <c r="AX126" s="23" t="s">
        <v>307</v>
      </c>
      <c r="AY126" s="12" t="s">
        <v>83</v>
      </c>
      <c r="BA126" s="21">
        <f>AU126+AV126</f>
        <v>0</v>
      </c>
      <c r="BB126" s="21">
        <f>G126/(100-BC126)*100</f>
        <v>0</v>
      </c>
      <c r="BC126" s="21">
        <v>0</v>
      </c>
      <c r="BD126" s="21">
        <f>M126</f>
        <v>1.9400000000000001E-3</v>
      </c>
      <c r="BF126" s="21">
        <f>F126*AM126</f>
        <v>0</v>
      </c>
      <c r="BG126" s="21">
        <f>F126*AN126</f>
        <v>0</v>
      </c>
      <c r="BH126" s="21">
        <f>F126*G126</f>
        <v>0</v>
      </c>
      <c r="BI126" s="23" t="s">
        <v>84</v>
      </c>
      <c r="BJ126" s="21">
        <v>734</v>
      </c>
      <c r="BU126" s="21" t="e">
        <f>#REF!</f>
        <v>#REF!</v>
      </c>
      <c r="BV126" s="1" t="s">
        <v>314</v>
      </c>
    </row>
    <row r="127" spans="1:74" x14ac:dyDescent="0.25">
      <c r="A127" s="84"/>
      <c r="B127" s="135">
        <v>88</v>
      </c>
      <c r="C127" s="85" t="s">
        <v>315</v>
      </c>
      <c r="D127" s="136" t="s">
        <v>316</v>
      </c>
      <c r="E127" s="85" t="s">
        <v>122</v>
      </c>
      <c r="F127" s="137">
        <v>1</v>
      </c>
      <c r="G127" s="166">
        <v>0</v>
      </c>
      <c r="H127" s="137">
        <f>ROUND(F127*AM127,2)</f>
        <v>0</v>
      </c>
      <c r="I127" s="137">
        <f>ROUND(F127*AN127,2)</f>
        <v>0</v>
      </c>
      <c r="J127" s="138">
        <f>ROUND(F127*G127,2)</f>
        <v>0</v>
      </c>
      <c r="K127" s="139"/>
      <c r="L127" s="21">
        <v>6.9999999999999999E-4</v>
      </c>
      <c r="M127" s="21">
        <f>F127*L127</f>
        <v>6.9999999999999999E-4</v>
      </c>
      <c r="N127" s="22" t="s">
        <v>3</v>
      </c>
      <c r="X127" s="21">
        <f>ROUND(IF(AO127="5",BH127,0),2)</f>
        <v>0</v>
      </c>
      <c r="Z127" s="21">
        <f>ROUND(IF(AO127="1",BF127,0),2)</f>
        <v>0</v>
      </c>
      <c r="AA127" s="21">
        <f>ROUND(IF(AO127="1",BG127,0),2)</f>
        <v>0</v>
      </c>
      <c r="AB127" s="21">
        <f>ROUND(IF(AO127="7",BF127,0),2)</f>
        <v>0</v>
      </c>
      <c r="AC127" s="21">
        <f>ROUND(IF(AO127="7",BG127,0),2)</f>
        <v>0</v>
      </c>
      <c r="AD127" s="21">
        <f>ROUND(IF(AO127="2",BF127,0),2)</f>
        <v>0</v>
      </c>
      <c r="AE127" s="21">
        <f>ROUND(IF(AO127="2",BG127,0),2)</f>
        <v>0</v>
      </c>
      <c r="AF127" s="21">
        <f>ROUND(IF(AO127="0",BH127,0),2)</f>
        <v>0</v>
      </c>
      <c r="AG127" s="12" t="s">
        <v>3</v>
      </c>
      <c r="AH127" s="21">
        <f>IF(AL127=0,J127,0)</f>
        <v>0</v>
      </c>
      <c r="AI127" s="21">
        <f>IF(AL127=12,J127,0)</f>
        <v>0</v>
      </c>
      <c r="AJ127" s="21">
        <f>IF(AL127=21,J127,0)</f>
        <v>0</v>
      </c>
      <c r="AL127" s="21">
        <v>21</v>
      </c>
      <c r="AM127" s="21">
        <f>G127*0.867789437</f>
        <v>0</v>
      </c>
      <c r="AN127" s="21">
        <f>G127*(1-0.867789437)</f>
        <v>0</v>
      </c>
      <c r="AO127" s="23" t="s">
        <v>80</v>
      </c>
      <c r="AT127" s="21">
        <f>ROUND(AU127+AV127,2)</f>
        <v>0</v>
      </c>
      <c r="AU127" s="21">
        <f>ROUND(F127*AM127,2)</f>
        <v>0</v>
      </c>
      <c r="AV127" s="21">
        <f>ROUND(F127*AN127,2)</f>
        <v>0</v>
      </c>
      <c r="AW127" s="23" t="s">
        <v>306</v>
      </c>
      <c r="AX127" s="23" t="s">
        <v>307</v>
      </c>
      <c r="AY127" s="12" t="s">
        <v>83</v>
      </c>
      <c r="BA127" s="21">
        <f>AU127+AV127</f>
        <v>0</v>
      </c>
      <c r="BB127" s="21">
        <f>G127/(100-BC127)*100</f>
        <v>0</v>
      </c>
      <c r="BC127" s="21">
        <v>0</v>
      </c>
      <c r="BD127" s="21">
        <f>M127</f>
        <v>6.9999999999999999E-4</v>
      </c>
      <c r="BF127" s="21">
        <f>F127*AM127</f>
        <v>0</v>
      </c>
      <c r="BG127" s="21">
        <f>F127*AN127</f>
        <v>0</v>
      </c>
      <c r="BH127" s="21">
        <f>F127*G127</f>
        <v>0</v>
      </c>
      <c r="BI127" s="23" t="s">
        <v>84</v>
      </c>
      <c r="BJ127" s="21">
        <v>734</v>
      </c>
      <c r="BU127" s="21" t="e">
        <f>#REF!</f>
        <v>#REF!</v>
      </c>
      <c r="BV127" s="1" t="s">
        <v>316</v>
      </c>
    </row>
    <row r="128" spans="1:74" ht="13.5" customHeight="1" x14ac:dyDescent="0.25">
      <c r="A128" s="84"/>
      <c r="B128" s="144"/>
      <c r="C128" s="145" t="s">
        <v>123</v>
      </c>
      <c r="D128" s="146" t="s">
        <v>317</v>
      </c>
      <c r="E128" s="147"/>
      <c r="F128" s="147"/>
      <c r="G128" s="168"/>
      <c r="H128" s="147"/>
      <c r="I128" s="147"/>
      <c r="J128" s="148"/>
      <c r="K128" s="149"/>
      <c r="L128" s="29"/>
      <c r="M128" s="29"/>
      <c r="N128" s="30"/>
    </row>
    <row r="129" spans="1:74" x14ac:dyDescent="0.25">
      <c r="A129" s="84"/>
      <c r="B129" s="135">
        <v>89</v>
      </c>
      <c r="C129" s="85" t="s">
        <v>318</v>
      </c>
      <c r="D129" s="136" t="s">
        <v>319</v>
      </c>
      <c r="E129" s="85" t="s">
        <v>122</v>
      </c>
      <c r="F129" s="137">
        <v>1</v>
      </c>
      <c r="G129" s="166">
        <v>0</v>
      </c>
      <c r="H129" s="137">
        <f t="shared" ref="H129:H134" si="122">ROUND(F129*AM129,2)</f>
        <v>0</v>
      </c>
      <c r="I129" s="137">
        <f t="shared" ref="I129:I134" si="123">ROUND(F129*AN129,2)</f>
        <v>0</v>
      </c>
      <c r="J129" s="138">
        <f t="shared" ref="J129:J134" si="124">ROUND(F129*G129,2)</f>
        <v>0</v>
      </c>
      <c r="K129" s="139"/>
      <c r="L129" s="21">
        <v>1.3600000000000001E-3</v>
      </c>
      <c r="M129" s="21">
        <f t="shared" ref="M129:M134" si="125">F129*L129</f>
        <v>1.3600000000000001E-3</v>
      </c>
      <c r="N129" s="22" t="s">
        <v>79</v>
      </c>
      <c r="X129" s="21">
        <f t="shared" ref="X129:X134" si="126">ROUND(IF(AO129="5",BH129,0),2)</f>
        <v>0</v>
      </c>
      <c r="Z129" s="21">
        <f t="shared" ref="Z129:Z134" si="127">ROUND(IF(AO129="1",BF129,0),2)</f>
        <v>0</v>
      </c>
      <c r="AA129" s="21">
        <f t="shared" ref="AA129:AA134" si="128">ROUND(IF(AO129="1",BG129,0),2)</f>
        <v>0</v>
      </c>
      <c r="AB129" s="21">
        <f t="shared" ref="AB129:AB134" si="129">ROUND(IF(AO129="7",BF129,0),2)</f>
        <v>0</v>
      </c>
      <c r="AC129" s="21">
        <f t="shared" ref="AC129:AC134" si="130">ROUND(IF(AO129="7",BG129,0),2)</f>
        <v>0</v>
      </c>
      <c r="AD129" s="21">
        <f t="shared" ref="AD129:AD134" si="131">ROUND(IF(AO129="2",BF129,0),2)</f>
        <v>0</v>
      </c>
      <c r="AE129" s="21">
        <f t="shared" ref="AE129:AE134" si="132">ROUND(IF(AO129="2",BG129,0),2)</f>
        <v>0</v>
      </c>
      <c r="AF129" s="21">
        <f t="shared" ref="AF129:AF134" si="133">ROUND(IF(AO129="0",BH129,0),2)</f>
        <v>0</v>
      </c>
      <c r="AG129" s="12" t="s">
        <v>3</v>
      </c>
      <c r="AH129" s="21">
        <f t="shared" ref="AH129:AH134" si="134">IF(AL129=0,J129,0)</f>
        <v>0</v>
      </c>
      <c r="AI129" s="21">
        <f t="shared" ref="AI129:AI134" si="135">IF(AL129=12,J129,0)</f>
        <v>0</v>
      </c>
      <c r="AJ129" s="21">
        <f t="shared" ref="AJ129:AJ134" si="136">IF(AL129=21,J129,0)</f>
        <v>0</v>
      </c>
      <c r="AL129" s="21">
        <v>21</v>
      </c>
      <c r="AM129" s="21">
        <f>G129*0.873339623</f>
        <v>0</v>
      </c>
      <c r="AN129" s="21">
        <f>G129*(1-0.873339623)</f>
        <v>0</v>
      </c>
      <c r="AO129" s="23" t="s">
        <v>80</v>
      </c>
      <c r="AT129" s="21">
        <f t="shared" ref="AT129:AT134" si="137">ROUND(AU129+AV129,2)</f>
        <v>0</v>
      </c>
      <c r="AU129" s="21">
        <f t="shared" ref="AU129:AU134" si="138">ROUND(F129*AM129,2)</f>
        <v>0</v>
      </c>
      <c r="AV129" s="21">
        <f t="shared" ref="AV129:AV134" si="139">ROUND(F129*AN129,2)</f>
        <v>0</v>
      </c>
      <c r="AW129" s="23" t="s">
        <v>306</v>
      </c>
      <c r="AX129" s="23" t="s">
        <v>307</v>
      </c>
      <c r="AY129" s="12" t="s">
        <v>83</v>
      </c>
      <c r="BA129" s="21">
        <f t="shared" ref="BA129:BA134" si="140">AU129+AV129</f>
        <v>0</v>
      </c>
      <c r="BB129" s="21">
        <f t="shared" ref="BB129:BB134" si="141">G129/(100-BC129)*100</f>
        <v>0</v>
      </c>
      <c r="BC129" s="21">
        <v>0</v>
      </c>
      <c r="BD129" s="21">
        <f t="shared" ref="BD129:BD134" si="142">M129</f>
        <v>1.3600000000000001E-3</v>
      </c>
      <c r="BF129" s="21">
        <f t="shared" ref="BF129:BF134" si="143">F129*AM129</f>
        <v>0</v>
      </c>
      <c r="BG129" s="21">
        <f t="shared" ref="BG129:BG134" si="144">F129*AN129</f>
        <v>0</v>
      </c>
      <c r="BH129" s="21">
        <f t="shared" ref="BH129:BH134" si="145">F129*G129</f>
        <v>0</v>
      </c>
      <c r="BI129" s="23" t="s">
        <v>84</v>
      </c>
      <c r="BJ129" s="21">
        <v>734</v>
      </c>
      <c r="BU129" s="21" t="e">
        <f>#REF!</f>
        <v>#REF!</v>
      </c>
      <c r="BV129" s="1" t="s">
        <v>319</v>
      </c>
    </row>
    <row r="130" spans="1:74" x14ac:dyDescent="0.25">
      <c r="A130" s="84"/>
      <c r="B130" s="135">
        <v>90</v>
      </c>
      <c r="C130" s="85" t="s">
        <v>320</v>
      </c>
      <c r="D130" s="136" t="s">
        <v>321</v>
      </c>
      <c r="E130" s="85" t="s">
        <v>122</v>
      </c>
      <c r="F130" s="137">
        <v>1</v>
      </c>
      <c r="G130" s="166">
        <v>0</v>
      </c>
      <c r="H130" s="137">
        <f t="shared" si="122"/>
        <v>0</v>
      </c>
      <c r="I130" s="137">
        <f t="shared" si="123"/>
        <v>0</v>
      </c>
      <c r="J130" s="138">
        <f t="shared" si="124"/>
        <v>0</v>
      </c>
      <c r="K130" s="139"/>
      <c r="L130" s="21">
        <v>3.0000000000000001E-5</v>
      </c>
      <c r="M130" s="21">
        <f t="shared" si="125"/>
        <v>3.0000000000000001E-5</v>
      </c>
      <c r="N130" s="22" t="s">
        <v>79</v>
      </c>
      <c r="X130" s="21">
        <f t="shared" si="126"/>
        <v>0</v>
      </c>
      <c r="Z130" s="21">
        <f t="shared" si="127"/>
        <v>0</v>
      </c>
      <c r="AA130" s="21">
        <f t="shared" si="128"/>
        <v>0</v>
      </c>
      <c r="AB130" s="21">
        <f t="shared" si="129"/>
        <v>0</v>
      </c>
      <c r="AC130" s="21">
        <f t="shared" si="130"/>
        <v>0</v>
      </c>
      <c r="AD130" s="21">
        <f t="shared" si="131"/>
        <v>0</v>
      </c>
      <c r="AE130" s="21">
        <f t="shared" si="132"/>
        <v>0</v>
      </c>
      <c r="AF130" s="21">
        <f t="shared" si="133"/>
        <v>0</v>
      </c>
      <c r="AG130" s="12" t="s">
        <v>3</v>
      </c>
      <c r="AH130" s="21">
        <f t="shared" si="134"/>
        <v>0</v>
      </c>
      <c r="AI130" s="21">
        <f t="shared" si="135"/>
        <v>0</v>
      </c>
      <c r="AJ130" s="21">
        <f t="shared" si="136"/>
        <v>0</v>
      </c>
      <c r="AL130" s="21">
        <v>21</v>
      </c>
      <c r="AM130" s="21">
        <f>G130*0.040182371</f>
        <v>0</v>
      </c>
      <c r="AN130" s="21">
        <f>G130*(1-0.040182371)</f>
        <v>0</v>
      </c>
      <c r="AO130" s="23" t="s">
        <v>80</v>
      </c>
      <c r="AT130" s="21">
        <f t="shared" si="137"/>
        <v>0</v>
      </c>
      <c r="AU130" s="21">
        <f t="shared" si="138"/>
        <v>0</v>
      </c>
      <c r="AV130" s="21">
        <f t="shared" si="139"/>
        <v>0</v>
      </c>
      <c r="AW130" s="23" t="s">
        <v>306</v>
      </c>
      <c r="AX130" s="23" t="s">
        <v>307</v>
      </c>
      <c r="AY130" s="12" t="s">
        <v>83</v>
      </c>
      <c r="BA130" s="21">
        <f t="shared" si="140"/>
        <v>0</v>
      </c>
      <c r="BB130" s="21">
        <f t="shared" si="141"/>
        <v>0</v>
      </c>
      <c r="BC130" s="21">
        <v>0</v>
      </c>
      <c r="BD130" s="21">
        <f t="shared" si="142"/>
        <v>3.0000000000000001E-5</v>
      </c>
      <c r="BF130" s="21">
        <f t="shared" si="143"/>
        <v>0</v>
      </c>
      <c r="BG130" s="21">
        <f t="shared" si="144"/>
        <v>0</v>
      </c>
      <c r="BH130" s="21">
        <f t="shared" si="145"/>
        <v>0</v>
      </c>
      <c r="BI130" s="23" t="s">
        <v>84</v>
      </c>
      <c r="BJ130" s="21">
        <v>734</v>
      </c>
      <c r="BU130" s="21" t="e">
        <f>#REF!</f>
        <v>#REF!</v>
      </c>
      <c r="BV130" s="1" t="s">
        <v>321</v>
      </c>
    </row>
    <row r="131" spans="1:74" x14ac:dyDescent="0.25">
      <c r="A131" s="84"/>
      <c r="B131" s="135">
        <v>91</v>
      </c>
      <c r="C131" s="85" t="s">
        <v>322</v>
      </c>
      <c r="D131" s="136" t="s">
        <v>323</v>
      </c>
      <c r="E131" s="85" t="s">
        <v>122</v>
      </c>
      <c r="F131" s="137">
        <v>2</v>
      </c>
      <c r="G131" s="166">
        <v>0</v>
      </c>
      <c r="H131" s="137">
        <f t="shared" si="122"/>
        <v>0</v>
      </c>
      <c r="I131" s="137">
        <f t="shared" si="123"/>
        <v>0</v>
      </c>
      <c r="J131" s="138">
        <f t="shared" si="124"/>
        <v>0</v>
      </c>
      <c r="K131" s="139"/>
      <c r="L131" s="21">
        <v>3.0000000000000001E-5</v>
      </c>
      <c r="M131" s="21">
        <f t="shared" si="125"/>
        <v>6.0000000000000002E-5</v>
      </c>
      <c r="N131" s="22" t="s">
        <v>79</v>
      </c>
      <c r="X131" s="21">
        <f t="shared" si="126"/>
        <v>0</v>
      </c>
      <c r="Z131" s="21">
        <f t="shared" si="127"/>
        <v>0</v>
      </c>
      <c r="AA131" s="21">
        <f t="shared" si="128"/>
        <v>0</v>
      </c>
      <c r="AB131" s="21">
        <f t="shared" si="129"/>
        <v>0</v>
      </c>
      <c r="AC131" s="21">
        <f t="shared" si="130"/>
        <v>0</v>
      </c>
      <c r="AD131" s="21">
        <f t="shared" si="131"/>
        <v>0</v>
      </c>
      <c r="AE131" s="21">
        <f t="shared" si="132"/>
        <v>0</v>
      </c>
      <c r="AF131" s="21">
        <f t="shared" si="133"/>
        <v>0</v>
      </c>
      <c r="AG131" s="12" t="s">
        <v>3</v>
      </c>
      <c r="AH131" s="21">
        <f t="shared" si="134"/>
        <v>0</v>
      </c>
      <c r="AI131" s="21">
        <f t="shared" si="135"/>
        <v>0</v>
      </c>
      <c r="AJ131" s="21">
        <f t="shared" si="136"/>
        <v>0</v>
      </c>
      <c r="AL131" s="21">
        <v>21</v>
      </c>
      <c r="AM131" s="21">
        <f>G131*0.036622528</f>
        <v>0</v>
      </c>
      <c r="AN131" s="21">
        <f>G131*(1-0.036622528)</f>
        <v>0</v>
      </c>
      <c r="AO131" s="23" t="s">
        <v>80</v>
      </c>
      <c r="AT131" s="21">
        <f t="shared" si="137"/>
        <v>0</v>
      </c>
      <c r="AU131" s="21">
        <f t="shared" si="138"/>
        <v>0</v>
      </c>
      <c r="AV131" s="21">
        <f t="shared" si="139"/>
        <v>0</v>
      </c>
      <c r="AW131" s="23" t="s">
        <v>306</v>
      </c>
      <c r="AX131" s="23" t="s">
        <v>307</v>
      </c>
      <c r="AY131" s="12" t="s">
        <v>83</v>
      </c>
      <c r="BA131" s="21">
        <f t="shared" si="140"/>
        <v>0</v>
      </c>
      <c r="BB131" s="21">
        <f t="shared" si="141"/>
        <v>0</v>
      </c>
      <c r="BC131" s="21">
        <v>0</v>
      </c>
      <c r="BD131" s="21">
        <f t="shared" si="142"/>
        <v>6.0000000000000002E-5</v>
      </c>
      <c r="BF131" s="21">
        <f t="shared" si="143"/>
        <v>0</v>
      </c>
      <c r="BG131" s="21">
        <f t="shared" si="144"/>
        <v>0</v>
      </c>
      <c r="BH131" s="21">
        <f t="shared" si="145"/>
        <v>0</v>
      </c>
      <c r="BI131" s="23" t="s">
        <v>84</v>
      </c>
      <c r="BJ131" s="21">
        <v>734</v>
      </c>
      <c r="BU131" s="21" t="e">
        <f>#REF!</f>
        <v>#REF!</v>
      </c>
      <c r="BV131" s="1" t="s">
        <v>323</v>
      </c>
    </row>
    <row r="132" spans="1:74" x14ac:dyDescent="0.25">
      <c r="A132" s="84"/>
      <c r="B132" s="135">
        <v>92</v>
      </c>
      <c r="C132" s="85" t="s">
        <v>324</v>
      </c>
      <c r="D132" s="136" t="s">
        <v>325</v>
      </c>
      <c r="E132" s="85" t="s">
        <v>122</v>
      </c>
      <c r="F132" s="137">
        <v>2</v>
      </c>
      <c r="G132" s="166">
        <v>0</v>
      </c>
      <c r="H132" s="137">
        <f t="shared" si="122"/>
        <v>0</v>
      </c>
      <c r="I132" s="137">
        <f t="shared" si="123"/>
        <v>0</v>
      </c>
      <c r="J132" s="138">
        <f t="shared" si="124"/>
        <v>0</v>
      </c>
      <c r="K132" s="139"/>
      <c r="L132" s="21">
        <v>3.0000000000000001E-5</v>
      </c>
      <c r="M132" s="21">
        <f t="shared" si="125"/>
        <v>6.0000000000000002E-5</v>
      </c>
      <c r="N132" s="22" t="s">
        <v>79</v>
      </c>
      <c r="X132" s="21">
        <f t="shared" si="126"/>
        <v>0</v>
      </c>
      <c r="Z132" s="21">
        <f t="shared" si="127"/>
        <v>0</v>
      </c>
      <c r="AA132" s="21">
        <f t="shared" si="128"/>
        <v>0</v>
      </c>
      <c r="AB132" s="21">
        <f t="shared" si="129"/>
        <v>0</v>
      </c>
      <c r="AC132" s="21">
        <f t="shared" si="130"/>
        <v>0</v>
      </c>
      <c r="AD132" s="21">
        <f t="shared" si="131"/>
        <v>0</v>
      </c>
      <c r="AE132" s="21">
        <f t="shared" si="132"/>
        <v>0</v>
      </c>
      <c r="AF132" s="21">
        <f t="shared" si="133"/>
        <v>0</v>
      </c>
      <c r="AG132" s="12" t="s">
        <v>3</v>
      </c>
      <c r="AH132" s="21">
        <f t="shared" si="134"/>
        <v>0</v>
      </c>
      <c r="AI132" s="21">
        <f t="shared" si="135"/>
        <v>0</v>
      </c>
      <c r="AJ132" s="21">
        <f t="shared" si="136"/>
        <v>0</v>
      </c>
      <c r="AL132" s="21">
        <v>21</v>
      </c>
      <c r="AM132" s="21">
        <f>G132*0.031105882</f>
        <v>0</v>
      </c>
      <c r="AN132" s="21">
        <f>G132*(1-0.031105882)</f>
        <v>0</v>
      </c>
      <c r="AO132" s="23" t="s">
        <v>80</v>
      </c>
      <c r="AT132" s="21">
        <f t="shared" si="137"/>
        <v>0</v>
      </c>
      <c r="AU132" s="21">
        <f t="shared" si="138"/>
        <v>0</v>
      </c>
      <c r="AV132" s="21">
        <f t="shared" si="139"/>
        <v>0</v>
      </c>
      <c r="AW132" s="23" t="s">
        <v>306</v>
      </c>
      <c r="AX132" s="23" t="s">
        <v>307</v>
      </c>
      <c r="AY132" s="12" t="s">
        <v>83</v>
      </c>
      <c r="BA132" s="21">
        <f t="shared" si="140"/>
        <v>0</v>
      </c>
      <c r="BB132" s="21">
        <f t="shared" si="141"/>
        <v>0</v>
      </c>
      <c r="BC132" s="21">
        <v>0</v>
      </c>
      <c r="BD132" s="21">
        <f t="shared" si="142"/>
        <v>6.0000000000000002E-5</v>
      </c>
      <c r="BF132" s="21">
        <f t="shared" si="143"/>
        <v>0</v>
      </c>
      <c r="BG132" s="21">
        <f t="shared" si="144"/>
        <v>0</v>
      </c>
      <c r="BH132" s="21">
        <f t="shared" si="145"/>
        <v>0</v>
      </c>
      <c r="BI132" s="23" t="s">
        <v>84</v>
      </c>
      <c r="BJ132" s="21">
        <v>734</v>
      </c>
      <c r="BU132" s="21" t="e">
        <f>#REF!</f>
        <v>#REF!</v>
      </c>
      <c r="BV132" s="1" t="s">
        <v>325</v>
      </c>
    </row>
    <row r="133" spans="1:74" x14ac:dyDescent="0.25">
      <c r="A133" s="84"/>
      <c r="B133" s="135">
        <v>93</v>
      </c>
      <c r="C133" s="85" t="s">
        <v>326</v>
      </c>
      <c r="D133" s="136" t="s">
        <v>327</v>
      </c>
      <c r="E133" s="85" t="s">
        <v>122</v>
      </c>
      <c r="F133" s="137">
        <v>3</v>
      </c>
      <c r="G133" s="166">
        <v>0</v>
      </c>
      <c r="H133" s="137">
        <f t="shared" si="122"/>
        <v>0</v>
      </c>
      <c r="I133" s="137">
        <f t="shared" si="123"/>
        <v>0</v>
      </c>
      <c r="J133" s="138">
        <f t="shared" si="124"/>
        <v>0</v>
      </c>
      <c r="K133" s="139"/>
      <c r="L133" s="21">
        <v>3.0000000000000001E-5</v>
      </c>
      <c r="M133" s="21">
        <f t="shared" si="125"/>
        <v>9.0000000000000006E-5</v>
      </c>
      <c r="N133" s="22" t="s">
        <v>79</v>
      </c>
      <c r="X133" s="21">
        <f t="shared" si="126"/>
        <v>0</v>
      </c>
      <c r="Z133" s="21">
        <f t="shared" si="127"/>
        <v>0</v>
      </c>
      <c r="AA133" s="21">
        <f t="shared" si="128"/>
        <v>0</v>
      </c>
      <c r="AB133" s="21">
        <f t="shared" si="129"/>
        <v>0</v>
      </c>
      <c r="AC133" s="21">
        <f t="shared" si="130"/>
        <v>0</v>
      </c>
      <c r="AD133" s="21">
        <f t="shared" si="131"/>
        <v>0</v>
      </c>
      <c r="AE133" s="21">
        <f t="shared" si="132"/>
        <v>0</v>
      </c>
      <c r="AF133" s="21">
        <f t="shared" si="133"/>
        <v>0</v>
      </c>
      <c r="AG133" s="12" t="s">
        <v>3</v>
      </c>
      <c r="AH133" s="21">
        <f t="shared" si="134"/>
        <v>0</v>
      </c>
      <c r="AI133" s="21">
        <f t="shared" si="135"/>
        <v>0</v>
      </c>
      <c r="AJ133" s="21">
        <f t="shared" si="136"/>
        <v>0</v>
      </c>
      <c r="AL133" s="21">
        <v>21</v>
      </c>
      <c r="AM133" s="21">
        <f>G133*0.02399274</f>
        <v>0</v>
      </c>
      <c r="AN133" s="21">
        <f>G133*(1-0.02399274)</f>
        <v>0</v>
      </c>
      <c r="AO133" s="23" t="s">
        <v>80</v>
      </c>
      <c r="AT133" s="21">
        <f t="shared" si="137"/>
        <v>0</v>
      </c>
      <c r="AU133" s="21">
        <f t="shared" si="138"/>
        <v>0</v>
      </c>
      <c r="AV133" s="21">
        <f t="shared" si="139"/>
        <v>0</v>
      </c>
      <c r="AW133" s="23" t="s">
        <v>306</v>
      </c>
      <c r="AX133" s="23" t="s">
        <v>307</v>
      </c>
      <c r="AY133" s="12" t="s">
        <v>83</v>
      </c>
      <c r="BA133" s="21">
        <f t="shared" si="140"/>
        <v>0</v>
      </c>
      <c r="BB133" s="21">
        <f t="shared" si="141"/>
        <v>0</v>
      </c>
      <c r="BC133" s="21">
        <v>0</v>
      </c>
      <c r="BD133" s="21">
        <f t="shared" si="142"/>
        <v>9.0000000000000006E-5</v>
      </c>
      <c r="BF133" s="21">
        <f t="shared" si="143"/>
        <v>0</v>
      </c>
      <c r="BG133" s="21">
        <f t="shared" si="144"/>
        <v>0</v>
      </c>
      <c r="BH133" s="21">
        <f t="shared" si="145"/>
        <v>0</v>
      </c>
      <c r="BI133" s="23" t="s">
        <v>84</v>
      </c>
      <c r="BJ133" s="21">
        <v>734</v>
      </c>
      <c r="BU133" s="21" t="e">
        <f>#REF!</f>
        <v>#REF!</v>
      </c>
      <c r="BV133" s="1" t="s">
        <v>327</v>
      </c>
    </row>
    <row r="134" spans="1:74" x14ac:dyDescent="0.25">
      <c r="A134" s="84"/>
      <c r="B134" s="135">
        <v>94</v>
      </c>
      <c r="C134" s="85" t="s">
        <v>328</v>
      </c>
      <c r="D134" s="136" t="s">
        <v>329</v>
      </c>
      <c r="E134" s="85" t="s">
        <v>118</v>
      </c>
      <c r="F134" s="137">
        <v>0.11074000000000001</v>
      </c>
      <c r="G134" s="166">
        <v>0</v>
      </c>
      <c r="H134" s="137">
        <f t="shared" si="122"/>
        <v>0</v>
      </c>
      <c r="I134" s="137">
        <f t="shared" si="123"/>
        <v>0</v>
      </c>
      <c r="J134" s="138">
        <f t="shared" si="124"/>
        <v>0</v>
      </c>
      <c r="K134" s="139"/>
      <c r="L134" s="21">
        <v>0</v>
      </c>
      <c r="M134" s="21">
        <f t="shared" si="125"/>
        <v>0</v>
      </c>
      <c r="N134" s="22" t="s">
        <v>79</v>
      </c>
      <c r="X134" s="21">
        <f t="shared" si="126"/>
        <v>0</v>
      </c>
      <c r="Z134" s="21">
        <f t="shared" si="127"/>
        <v>0</v>
      </c>
      <c r="AA134" s="21">
        <f t="shared" si="128"/>
        <v>0</v>
      </c>
      <c r="AB134" s="21">
        <f t="shared" si="129"/>
        <v>0</v>
      </c>
      <c r="AC134" s="21">
        <f t="shared" si="130"/>
        <v>0</v>
      </c>
      <c r="AD134" s="21">
        <f t="shared" si="131"/>
        <v>0</v>
      </c>
      <c r="AE134" s="21">
        <f t="shared" si="132"/>
        <v>0</v>
      </c>
      <c r="AF134" s="21">
        <f t="shared" si="133"/>
        <v>0</v>
      </c>
      <c r="AG134" s="12" t="s">
        <v>3</v>
      </c>
      <c r="AH134" s="21">
        <f t="shared" si="134"/>
        <v>0</v>
      </c>
      <c r="AI134" s="21">
        <f t="shared" si="135"/>
        <v>0</v>
      </c>
      <c r="AJ134" s="21">
        <f t="shared" si="136"/>
        <v>0</v>
      </c>
      <c r="AL134" s="21">
        <v>21</v>
      </c>
      <c r="AM134" s="21">
        <f>G134*0</f>
        <v>0</v>
      </c>
      <c r="AN134" s="21">
        <f>G134*(1-0)</f>
        <v>0</v>
      </c>
      <c r="AO134" s="23" t="s">
        <v>94</v>
      </c>
      <c r="AT134" s="21">
        <f t="shared" si="137"/>
        <v>0</v>
      </c>
      <c r="AU134" s="21">
        <f t="shared" si="138"/>
        <v>0</v>
      </c>
      <c r="AV134" s="21">
        <f t="shared" si="139"/>
        <v>0</v>
      </c>
      <c r="AW134" s="23" t="s">
        <v>306</v>
      </c>
      <c r="AX134" s="23" t="s">
        <v>307</v>
      </c>
      <c r="AY134" s="12" t="s">
        <v>83</v>
      </c>
      <c r="BA134" s="21">
        <f t="shared" si="140"/>
        <v>0</v>
      </c>
      <c r="BB134" s="21">
        <f t="shared" si="141"/>
        <v>0</v>
      </c>
      <c r="BC134" s="21">
        <v>0</v>
      </c>
      <c r="BD134" s="21">
        <f t="shared" si="142"/>
        <v>0</v>
      </c>
      <c r="BF134" s="21">
        <f t="shared" si="143"/>
        <v>0</v>
      </c>
      <c r="BG134" s="21">
        <f t="shared" si="144"/>
        <v>0</v>
      </c>
      <c r="BH134" s="21">
        <f t="shared" si="145"/>
        <v>0</v>
      </c>
      <c r="BI134" s="23" t="s">
        <v>84</v>
      </c>
      <c r="BJ134" s="21">
        <v>734</v>
      </c>
      <c r="BU134" s="21" t="e">
        <f>#REF!</f>
        <v>#REF!</v>
      </c>
      <c r="BV134" s="1" t="s">
        <v>329</v>
      </c>
    </row>
    <row r="135" spans="1:74" x14ac:dyDescent="0.25">
      <c r="A135" s="84"/>
      <c r="B135" s="140" t="s">
        <v>3</v>
      </c>
      <c r="C135" s="121" t="s">
        <v>330</v>
      </c>
      <c r="D135" s="122" t="s">
        <v>331</v>
      </c>
      <c r="E135" s="120" t="s">
        <v>41</v>
      </c>
      <c r="F135" s="120" t="s">
        <v>41</v>
      </c>
      <c r="G135" s="167" t="s">
        <v>41</v>
      </c>
      <c r="H135" s="123">
        <f>SUM(H136:H137)</f>
        <v>0</v>
      </c>
      <c r="I135" s="123">
        <f>SUM(I136:I137)</f>
        <v>0</v>
      </c>
      <c r="J135" s="141">
        <f>SUM(J136:J137)</f>
        <v>0</v>
      </c>
      <c r="K135" s="124"/>
      <c r="L135" s="12" t="s">
        <v>3</v>
      </c>
      <c r="M135" s="10">
        <f>SUM(M136:M137)</f>
        <v>2.4250000000000001E-2</v>
      </c>
      <c r="N135" s="20" t="s">
        <v>3</v>
      </c>
      <c r="AG135" s="12" t="s">
        <v>3</v>
      </c>
      <c r="AQ135" s="10">
        <f>SUM(AH136:AH137)</f>
        <v>0</v>
      </c>
      <c r="AR135" s="10">
        <f>SUM(AI136:AI137)</f>
        <v>0</v>
      </c>
      <c r="AS135" s="10">
        <f>SUM(AJ136:AJ137)</f>
        <v>0</v>
      </c>
    </row>
    <row r="136" spans="1:74" x14ac:dyDescent="0.25">
      <c r="A136" s="84"/>
      <c r="B136" s="135">
        <v>95</v>
      </c>
      <c r="C136" s="85" t="s">
        <v>332</v>
      </c>
      <c r="D136" s="136" t="s">
        <v>333</v>
      </c>
      <c r="E136" s="85" t="s">
        <v>122</v>
      </c>
      <c r="F136" s="137">
        <v>1</v>
      </c>
      <c r="G136" s="166">
        <v>0</v>
      </c>
      <c r="H136" s="137">
        <f>ROUND(F136*AM136,2)</f>
        <v>0</v>
      </c>
      <c r="I136" s="137">
        <f>ROUND(F136*AN136,2)</f>
        <v>0</v>
      </c>
      <c r="J136" s="138">
        <f>ROUND(F136*G136,2)</f>
        <v>0</v>
      </c>
      <c r="K136" s="139"/>
      <c r="L136" s="21">
        <v>2.4240000000000001E-2</v>
      </c>
      <c r="M136" s="21">
        <f>F136*L136</f>
        <v>2.4240000000000001E-2</v>
      </c>
      <c r="N136" s="22" t="s">
        <v>3</v>
      </c>
      <c r="X136" s="21">
        <f>ROUND(IF(AO136="5",BH136,0),2)</f>
        <v>0</v>
      </c>
      <c r="Z136" s="21">
        <f>ROUND(IF(AO136="1",BF136,0),2)</f>
        <v>0</v>
      </c>
      <c r="AA136" s="21">
        <f>ROUND(IF(AO136="1",BG136,0),2)</f>
        <v>0</v>
      </c>
      <c r="AB136" s="21">
        <f>ROUND(IF(AO136="7",BF136,0),2)</f>
        <v>0</v>
      </c>
      <c r="AC136" s="21">
        <f>ROUND(IF(AO136="7",BG136,0),2)</f>
        <v>0</v>
      </c>
      <c r="AD136" s="21">
        <f>ROUND(IF(AO136="2",BF136,0),2)</f>
        <v>0</v>
      </c>
      <c r="AE136" s="21">
        <f>ROUND(IF(AO136="2",BG136,0),2)</f>
        <v>0</v>
      </c>
      <c r="AF136" s="21">
        <f>ROUND(IF(AO136="0",BH136,0),2)</f>
        <v>0</v>
      </c>
      <c r="AG136" s="12" t="s">
        <v>3</v>
      </c>
      <c r="AH136" s="21">
        <f>IF(AL136=0,J136,0)</f>
        <v>0</v>
      </c>
      <c r="AI136" s="21">
        <f>IF(AL136=12,J136,0)</f>
        <v>0</v>
      </c>
      <c r="AJ136" s="21">
        <f>IF(AL136=21,J136,0)</f>
        <v>0</v>
      </c>
      <c r="AL136" s="21">
        <v>21</v>
      </c>
      <c r="AM136" s="21">
        <f>G136*0.994228804</f>
        <v>0</v>
      </c>
      <c r="AN136" s="21">
        <f>G136*(1-0.994228804)</f>
        <v>0</v>
      </c>
      <c r="AO136" s="23" t="s">
        <v>80</v>
      </c>
      <c r="AT136" s="21">
        <f>ROUND(AU136+AV136,2)</f>
        <v>0</v>
      </c>
      <c r="AU136" s="21">
        <f>ROUND(F136*AM136,2)</f>
        <v>0</v>
      </c>
      <c r="AV136" s="21">
        <f>ROUND(F136*AN136,2)</f>
        <v>0</v>
      </c>
      <c r="AW136" s="23" t="s">
        <v>334</v>
      </c>
      <c r="AX136" s="23" t="s">
        <v>307</v>
      </c>
      <c r="AY136" s="12" t="s">
        <v>83</v>
      </c>
      <c r="BA136" s="21">
        <f>AU136+AV136</f>
        <v>0</v>
      </c>
      <c r="BB136" s="21">
        <f>G136/(100-BC136)*100</f>
        <v>0</v>
      </c>
      <c r="BC136" s="21">
        <v>0</v>
      </c>
      <c r="BD136" s="21">
        <f>M136</f>
        <v>2.4240000000000001E-2</v>
      </c>
      <c r="BF136" s="21">
        <f>F136*AM136</f>
        <v>0</v>
      </c>
      <c r="BG136" s="21">
        <f>F136*AN136</f>
        <v>0</v>
      </c>
      <c r="BH136" s="21">
        <f>F136*G136</f>
        <v>0</v>
      </c>
      <c r="BI136" s="23" t="s">
        <v>84</v>
      </c>
      <c r="BJ136" s="21">
        <v>738</v>
      </c>
      <c r="BU136" s="21" t="e">
        <f>#REF!</f>
        <v>#REF!</v>
      </c>
      <c r="BV136" s="1" t="s">
        <v>333</v>
      </c>
    </row>
    <row r="137" spans="1:74" ht="15" customHeight="1" x14ac:dyDescent="0.25">
      <c r="A137" s="84"/>
      <c r="B137" s="135">
        <v>96</v>
      </c>
      <c r="C137" s="85" t="s">
        <v>335</v>
      </c>
      <c r="D137" s="136" t="s">
        <v>336</v>
      </c>
      <c r="E137" s="85" t="s">
        <v>122</v>
      </c>
      <c r="F137" s="137">
        <v>1</v>
      </c>
      <c r="G137" s="166">
        <v>0</v>
      </c>
      <c r="H137" s="137">
        <f>ROUND(F137*AM137,2)</f>
        <v>0</v>
      </c>
      <c r="I137" s="137">
        <f>ROUND(F137*AN137,2)</f>
        <v>0</v>
      </c>
      <c r="J137" s="138">
        <f>ROUND(F137*G137,2)</f>
        <v>0</v>
      </c>
      <c r="K137" s="139"/>
      <c r="L137" s="21">
        <v>1.0000000000000001E-5</v>
      </c>
      <c r="M137" s="21">
        <f>F137*L137</f>
        <v>1.0000000000000001E-5</v>
      </c>
      <c r="N137" s="22" t="s">
        <v>79</v>
      </c>
      <c r="X137" s="21">
        <f>ROUND(IF(AO137="5",BH137,0),2)</f>
        <v>0</v>
      </c>
      <c r="Z137" s="21">
        <f>ROUND(IF(AO137="1",BF137,0),2)</f>
        <v>0</v>
      </c>
      <c r="AA137" s="21">
        <f>ROUND(IF(AO137="1",BG137,0),2)</f>
        <v>0</v>
      </c>
      <c r="AB137" s="21">
        <f>ROUND(IF(AO137="7",BF137,0),2)</f>
        <v>0</v>
      </c>
      <c r="AC137" s="21">
        <f>ROUND(IF(AO137="7",BG137,0),2)</f>
        <v>0</v>
      </c>
      <c r="AD137" s="21">
        <f>ROUND(IF(AO137="2",BF137,0),2)</f>
        <v>0</v>
      </c>
      <c r="AE137" s="21">
        <f>ROUND(IF(AO137="2",BG137,0),2)</f>
        <v>0</v>
      </c>
      <c r="AF137" s="21">
        <f>ROUND(IF(AO137="0",BH137,0),2)</f>
        <v>0</v>
      </c>
      <c r="AG137" s="12" t="s">
        <v>3</v>
      </c>
      <c r="AH137" s="21">
        <f>IF(AL137=0,J137,0)</f>
        <v>0</v>
      </c>
      <c r="AI137" s="21">
        <f>IF(AL137=12,J137,0)</f>
        <v>0</v>
      </c>
      <c r="AJ137" s="21">
        <f>IF(AL137=21,J137,0)</f>
        <v>0</v>
      </c>
      <c r="AL137" s="21">
        <v>21</v>
      </c>
      <c r="AM137" s="21">
        <f>G137*0.019655568</f>
        <v>0</v>
      </c>
      <c r="AN137" s="21">
        <f>G137*(1-0.019655568)</f>
        <v>0</v>
      </c>
      <c r="AO137" s="23" t="s">
        <v>80</v>
      </c>
      <c r="AT137" s="21">
        <f>ROUND(AU137+AV137,2)</f>
        <v>0</v>
      </c>
      <c r="AU137" s="21">
        <f>ROUND(F137*AM137,2)</f>
        <v>0</v>
      </c>
      <c r="AV137" s="21">
        <f>ROUND(F137*AN137,2)</f>
        <v>0</v>
      </c>
      <c r="AW137" s="23" t="s">
        <v>334</v>
      </c>
      <c r="AX137" s="23" t="s">
        <v>307</v>
      </c>
      <c r="AY137" s="12" t="s">
        <v>83</v>
      </c>
      <c r="BA137" s="21">
        <f>AU137+AV137</f>
        <v>0</v>
      </c>
      <c r="BB137" s="21">
        <f>G137/(100-BC137)*100</f>
        <v>0</v>
      </c>
      <c r="BC137" s="21">
        <v>0</v>
      </c>
      <c r="BD137" s="21">
        <f>M137</f>
        <v>1.0000000000000001E-5</v>
      </c>
      <c r="BF137" s="21">
        <f>F137*AM137</f>
        <v>0</v>
      </c>
      <c r="BG137" s="21">
        <f>F137*AN137</f>
        <v>0</v>
      </c>
      <c r="BH137" s="21">
        <f>F137*G137</f>
        <v>0</v>
      </c>
      <c r="BI137" s="23" t="s">
        <v>84</v>
      </c>
      <c r="BJ137" s="21">
        <v>738</v>
      </c>
      <c r="BU137" s="21" t="e">
        <f>#REF!</f>
        <v>#REF!</v>
      </c>
      <c r="BV137" s="1" t="s">
        <v>336</v>
      </c>
    </row>
    <row r="138" spans="1:74" x14ac:dyDescent="0.25">
      <c r="A138" s="84"/>
      <c r="B138" s="140" t="s">
        <v>3</v>
      </c>
      <c r="C138" s="121" t="s">
        <v>337</v>
      </c>
      <c r="D138" s="122" t="s">
        <v>338</v>
      </c>
      <c r="E138" s="120" t="s">
        <v>41</v>
      </c>
      <c r="F138" s="120" t="s">
        <v>41</v>
      </c>
      <c r="G138" s="167" t="s">
        <v>41</v>
      </c>
      <c r="H138" s="123">
        <f>SUM(H139:H145)</f>
        <v>0</v>
      </c>
      <c r="I138" s="123">
        <f>SUM(I139:I145)</f>
        <v>0</v>
      </c>
      <c r="J138" s="141">
        <f>SUM(J139:J145)</f>
        <v>0</v>
      </c>
      <c r="K138" s="124"/>
      <c r="L138" s="12" t="s">
        <v>3</v>
      </c>
      <c r="M138" s="10">
        <f>SUM(M139:M145)</f>
        <v>0.7456799999999999</v>
      </c>
      <c r="N138" s="20" t="s">
        <v>3</v>
      </c>
      <c r="AG138" s="12" t="s">
        <v>3</v>
      </c>
      <c r="AQ138" s="10">
        <f>SUM(AH139:AH145)</f>
        <v>0</v>
      </c>
      <c r="AR138" s="10">
        <f>SUM(AI139:AI145)</f>
        <v>0</v>
      </c>
      <c r="AS138" s="10">
        <f>SUM(AJ139:AJ145)</f>
        <v>0</v>
      </c>
    </row>
    <row r="139" spans="1:74" ht="15" customHeight="1" x14ac:dyDescent="0.25">
      <c r="A139" s="84"/>
      <c r="B139" s="135">
        <v>97</v>
      </c>
      <c r="C139" s="85" t="s">
        <v>339</v>
      </c>
      <c r="D139" s="136" t="s">
        <v>340</v>
      </c>
      <c r="E139" s="85" t="s">
        <v>78</v>
      </c>
      <c r="F139" s="137">
        <v>30</v>
      </c>
      <c r="G139" s="166">
        <v>0</v>
      </c>
      <c r="H139" s="137">
        <f>ROUND(F139*AM139,2)</f>
        <v>0</v>
      </c>
      <c r="I139" s="137">
        <f>ROUND(F139*AN139,2)</f>
        <v>0</v>
      </c>
      <c r="J139" s="138">
        <f>ROUND(F139*G139,2)</f>
        <v>0</v>
      </c>
      <c r="K139" s="139"/>
      <c r="L139" s="21">
        <v>8.6700000000000006E-3</v>
      </c>
      <c r="M139" s="21">
        <f>F139*L139</f>
        <v>0.2601</v>
      </c>
      <c r="N139" s="22" t="s">
        <v>3</v>
      </c>
      <c r="X139" s="21">
        <f>ROUND(IF(AO139="5",BH139,0),2)</f>
        <v>0</v>
      </c>
      <c r="Z139" s="21">
        <f>ROUND(IF(AO139="1",BF139,0),2)</f>
        <v>0</v>
      </c>
      <c r="AA139" s="21">
        <f>ROUND(IF(AO139="1",BG139,0),2)</f>
        <v>0</v>
      </c>
      <c r="AB139" s="21">
        <f>ROUND(IF(AO139="7",BF139,0),2)</f>
        <v>0</v>
      </c>
      <c r="AC139" s="21">
        <f>ROUND(IF(AO139="7",BG139,0),2)</f>
        <v>0</v>
      </c>
      <c r="AD139" s="21">
        <f>ROUND(IF(AO139="2",BF139,0),2)</f>
        <v>0</v>
      </c>
      <c r="AE139" s="21">
        <f>ROUND(IF(AO139="2",BG139,0),2)</f>
        <v>0</v>
      </c>
      <c r="AF139" s="21">
        <f>ROUND(IF(AO139="0",BH139,0),2)</f>
        <v>0</v>
      </c>
      <c r="AG139" s="12" t="s">
        <v>3</v>
      </c>
      <c r="AH139" s="21">
        <f>IF(AL139=0,J139,0)</f>
        <v>0</v>
      </c>
      <c r="AI139" s="21">
        <f>IF(AL139=12,J139,0)</f>
        <v>0</v>
      </c>
      <c r="AJ139" s="21">
        <f>IF(AL139=21,J139,0)</f>
        <v>0</v>
      </c>
      <c r="AL139" s="21">
        <v>21</v>
      </c>
      <c r="AM139" s="21">
        <f>G139*0.846462396</f>
        <v>0</v>
      </c>
      <c r="AN139" s="21">
        <f>G139*(1-0.846462396)</f>
        <v>0</v>
      </c>
      <c r="AO139" s="23" t="s">
        <v>80</v>
      </c>
      <c r="AT139" s="21">
        <f>ROUND(AU139+AV139,2)</f>
        <v>0</v>
      </c>
      <c r="AU139" s="21">
        <f>ROUND(F139*AM139,2)</f>
        <v>0</v>
      </c>
      <c r="AV139" s="21">
        <f>ROUND(F139*AN139,2)</f>
        <v>0</v>
      </c>
      <c r="AW139" s="23" t="s">
        <v>341</v>
      </c>
      <c r="AX139" s="23" t="s">
        <v>82</v>
      </c>
      <c r="AY139" s="12" t="s">
        <v>83</v>
      </c>
      <c r="BA139" s="21">
        <f>AU139+AV139</f>
        <v>0</v>
      </c>
      <c r="BB139" s="21">
        <f>G139/(100-BC139)*100</f>
        <v>0</v>
      </c>
      <c r="BC139" s="21">
        <v>0</v>
      </c>
      <c r="BD139" s="21">
        <f>M139</f>
        <v>0.2601</v>
      </c>
      <c r="BF139" s="21">
        <f>F139*AM139</f>
        <v>0</v>
      </c>
      <c r="BG139" s="21">
        <f>F139*AN139</f>
        <v>0</v>
      </c>
      <c r="BH139" s="21">
        <f>F139*G139</f>
        <v>0</v>
      </c>
      <c r="BI139" s="23" t="s">
        <v>84</v>
      </c>
      <c r="BJ139" s="21">
        <v>723</v>
      </c>
      <c r="BU139" s="21" t="e">
        <f>#REF!</f>
        <v>#REF!</v>
      </c>
      <c r="BV139" s="1" t="s">
        <v>340</v>
      </c>
    </row>
    <row r="140" spans="1:74" ht="13.5" customHeight="1" x14ac:dyDescent="0.25">
      <c r="A140" s="84"/>
      <c r="B140" s="144"/>
      <c r="C140" s="145" t="s">
        <v>123</v>
      </c>
      <c r="D140" s="146" t="s">
        <v>342</v>
      </c>
      <c r="E140" s="147"/>
      <c r="F140" s="147"/>
      <c r="G140" s="168"/>
      <c r="H140" s="147"/>
      <c r="I140" s="147"/>
      <c r="J140" s="148"/>
      <c r="K140" s="149"/>
      <c r="L140" s="29"/>
      <c r="M140" s="29"/>
      <c r="N140" s="30"/>
    </row>
    <row r="141" spans="1:74" ht="15" customHeight="1" x14ac:dyDescent="0.25">
      <c r="A141" s="84"/>
      <c r="B141" s="135">
        <v>98</v>
      </c>
      <c r="C141" s="85" t="s">
        <v>343</v>
      </c>
      <c r="D141" s="136" t="s">
        <v>344</v>
      </c>
      <c r="E141" s="85" t="s">
        <v>78</v>
      </c>
      <c r="F141" s="137">
        <v>20</v>
      </c>
      <c r="G141" s="166">
        <v>0</v>
      </c>
      <c r="H141" s="137">
        <f>ROUND(F141*AM141,2)</f>
        <v>0</v>
      </c>
      <c r="I141" s="137">
        <f>ROUND(F141*AN141,2)</f>
        <v>0</v>
      </c>
      <c r="J141" s="138">
        <f>ROUND(F141*G141,2)</f>
        <v>0</v>
      </c>
      <c r="K141" s="139"/>
      <c r="L141" s="21">
        <v>8.6700000000000006E-3</v>
      </c>
      <c r="M141" s="21">
        <f>F141*L141</f>
        <v>0.1734</v>
      </c>
      <c r="N141" s="22" t="s">
        <v>79</v>
      </c>
      <c r="X141" s="21">
        <f>ROUND(IF(AO141="5",BH141,0),2)</f>
        <v>0</v>
      </c>
      <c r="Z141" s="21">
        <f>ROUND(IF(AO141="1",BF141,0),2)</f>
        <v>0</v>
      </c>
      <c r="AA141" s="21">
        <f>ROUND(IF(AO141="1",BG141,0),2)</f>
        <v>0</v>
      </c>
      <c r="AB141" s="21">
        <f>ROUND(IF(AO141="7",BF141,0),2)</f>
        <v>0</v>
      </c>
      <c r="AC141" s="21">
        <f>ROUND(IF(AO141="7",BG141,0),2)</f>
        <v>0</v>
      </c>
      <c r="AD141" s="21">
        <f>ROUND(IF(AO141="2",BF141,0),2)</f>
        <v>0</v>
      </c>
      <c r="AE141" s="21">
        <f>ROUND(IF(AO141="2",BG141,0),2)</f>
        <v>0</v>
      </c>
      <c r="AF141" s="21">
        <f>ROUND(IF(AO141="0",BH141,0),2)</f>
        <v>0</v>
      </c>
      <c r="AG141" s="12" t="s">
        <v>3</v>
      </c>
      <c r="AH141" s="21">
        <f>IF(AL141=0,J141,0)</f>
        <v>0</v>
      </c>
      <c r="AI141" s="21">
        <f>IF(AL141=12,J141,0)</f>
        <v>0</v>
      </c>
      <c r="AJ141" s="21">
        <f>IF(AL141=21,J141,0)</f>
        <v>0</v>
      </c>
      <c r="AL141" s="21">
        <v>21</v>
      </c>
      <c r="AM141" s="21">
        <f>G141*0.846461522</f>
        <v>0</v>
      </c>
      <c r="AN141" s="21">
        <f>G141*(1-0.846461522)</f>
        <v>0</v>
      </c>
      <c r="AO141" s="23" t="s">
        <v>80</v>
      </c>
      <c r="AT141" s="21">
        <f>ROUND(AU141+AV141,2)</f>
        <v>0</v>
      </c>
      <c r="AU141" s="21">
        <f>ROUND(F141*AM141,2)</f>
        <v>0</v>
      </c>
      <c r="AV141" s="21">
        <f>ROUND(F141*AN141,2)</f>
        <v>0</v>
      </c>
      <c r="AW141" s="23" t="s">
        <v>341</v>
      </c>
      <c r="AX141" s="23" t="s">
        <v>82</v>
      </c>
      <c r="AY141" s="12" t="s">
        <v>83</v>
      </c>
      <c r="BA141" s="21">
        <f>AU141+AV141</f>
        <v>0</v>
      </c>
      <c r="BB141" s="21">
        <f>G141/(100-BC141)*100</f>
        <v>0</v>
      </c>
      <c r="BC141" s="21">
        <v>0</v>
      </c>
      <c r="BD141" s="21">
        <f>M141</f>
        <v>0.1734</v>
      </c>
      <c r="BF141" s="21">
        <f>F141*AM141</f>
        <v>0</v>
      </c>
      <c r="BG141" s="21">
        <f>F141*AN141</f>
        <v>0</v>
      </c>
      <c r="BH141" s="21">
        <f>F141*G141</f>
        <v>0</v>
      </c>
      <c r="BI141" s="23" t="s">
        <v>84</v>
      </c>
      <c r="BJ141" s="21">
        <v>723</v>
      </c>
      <c r="BU141" s="21" t="e">
        <f>#REF!</f>
        <v>#REF!</v>
      </c>
      <c r="BV141" s="1" t="s">
        <v>344</v>
      </c>
    </row>
    <row r="142" spans="1:74" ht="13.5" customHeight="1" x14ac:dyDescent="0.25">
      <c r="A142" s="84"/>
      <c r="B142" s="144"/>
      <c r="C142" s="145" t="s">
        <v>123</v>
      </c>
      <c r="D142" s="146" t="s">
        <v>342</v>
      </c>
      <c r="E142" s="147"/>
      <c r="F142" s="147"/>
      <c r="G142" s="168"/>
      <c r="H142" s="147"/>
      <c r="I142" s="147"/>
      <c r="J142" s="148"/>
      <c r="K142" s="149"/>
      <c r="L142" s="29"/>
      <c r="M142" s="29"/>
      <c r="N142" s="30"/>
    </row>
    <row r="143" spans="1:74" ht="15" customHeight="1" x14ac:dyDescent="0.25">
      <c r="A143" s="84"/>
      <c r="B143" s="135">
        <v>99</v>
      </c>
      <c r="C143" s="85" t="s">
        <v>343</v>
      </c>
      <c r="D143" s="136" t="s">
        <v>345</v>
      </c>
      <c r="E143" s="85" t="s">
        <v>78</v>
      </c>
      <c r="F143" s="137">
        <v>36</v>
      </c>
      <c r="G143" s="166">
        <v>0</v>
      </c>
      <c r="H143" s="137">
        <f>ROUND(F143*AM143,2)</f>
        <v>0</v>
      </c>
      <c r="I143" s="137">
        <f>ROUND(F143*AN143,2)</f>
        <v>0</v>
      </c>
      <c r="J143" s="138">
        <f>ROUND(F143*G143,2)</f>
        <v>0</v>
      </c>
      <c r="K143" s="139"/>
      <c r="L143" s="21">
        <v>8.6700000000000006E-3</v>
      </c>
      <c r="M143" s="21">
        <f>F143*L143</f>
        <v>0.31212000000000001</v>
      </c>
      <c r="N143" s="22" t="s">
        <v>79</v>
      </c>
      <c r="X143" s="21">
        <f>ROUND(IF(AO143="5",BH143,0),2)</f>
        <v>0</v>
      </c>
      <c r="Z143" s="21">
        <f>ROUND(IF(AO143="1",BF143,0),2)</f>
        <v>0</v>
      </c>
      <c r="AA143" s="21">
        <f>ROUND(IF(AO143="1",BG143,0),2)</f>
        <v>0</v>
      </c>
      <c r="AB143" s="21">
        <f>ROUND(IF(AO143="7",BF143,0),2)</f>
        <v>0</v>
      </c>
      <c r="AC143" s="21">
        <f>ROUND(IF(AO143="7",BG143,0),2)</f>
        <v>0</v>
      </c>
      <c r="AD143" s="21">
        <f>ROUND(IF(AO143="2",BF143,0),2)</f>
        <v>0</v>
      </c>
      <c r="AE143" s="21">
        <f>ROUND(IF(AO143="2",BG143,0),2)</f>
        <v>0</v>
      </c>
      <c r="AF143" s="21">
        <f>ROUND(IF(AO143="0",BH143,0),2)</f>
        <v>0</v>
      </c>
      <c r="AG143" s="12" t="s">
        <v>3</v>
      </c>
      <c r="AH143" s="21">
        <f>IF(AL143=0,J143,0)</f>
        <v>0</v>
      </c>
      <c r="AI143" s="21">
        <f>IF(AL143=12,J143,0)</f>
        <v>0</v>
      </c>
      <c r="AJ143" s="21">
        <f>IF(AL143=21,J143,0)</f>
        <v>0</v>
      </c>
      <c r="AL143" s="21">
        <v>21</v>
      </c>
      <c r="AM143" s="21">
        <f>G143*0.846461522</f>
        <v>0</v>
      </c>
      <c r="AN143" s="21">
        <f>G143*(1-0.846461522)</f>
        <v>0</v>
      </c>
      <c r="AO143" s="23" t="s">
        <v>80</v>
      </c>
      <c r="AT143" s="21">
        <f>ROUND(AU143+AV143,2)</f>
        <v>0</v>
      </c>
      <c r="AU143" s="21">
        <f>ROUND(F143*AM143,2)</f>
        <v>0</v>
      </c>
      <c r="AV143" s="21">
        <f>ROUND(F143*AN143,2)</f>
        <v>0</v>
      </c>
      <c r="AW143" s="23" t="s">
        <v>341</v>
      </c>
      <c r="AX143" s="23" t="s">
        <v>82</v>
      </c>
      <c r="AY143" s="12" t="s">
        <v>83</v>
      </c>
      <c r="BA143" s="21">
        <f>AU143+AV143</f>
        <v>0</v>
      </c>
      <c r="BB143" s="21">
        <f>G143/(100-BC143)*100</f>
        <v>0</v>
      </c>
      <c r="BC143" s="21">
        <v>0</v>
      </c>
      <c r="BD143" s="21">
        <f>M143</f>
        <v>0.31212000000000001</v>
      </c>
      <c r="BF143" s="21">
        <f>F143*AM143</f>
        <v>0</v>
      </c>
      <c r="BG143" s="21">
        <f>F143*AN143</f>
        <v>0</v>
      </c>
      <c r="BH143" s="21">
        <f>F143*G143</f>
        <v>0</v>
      </c>
      <c r="BI143" s="23" t="s">
        <v>84</v>
      </c>
      <c r="BJ143" s="21">
        <v>723</v>
      </c>
      <c r="BU143" s="21" t="e">
        <f>#REF!</f>
        <v>#REF!</v>
      </c>
      <c r="BV143" s="1" t="s">
        <v>345</v>
      </c>
    </row>
    <row r="144" spans="1:74" ht="13.5" customHeight="1" x14ac:dyDescent="0.25">
      <c r="A144" s="84"/>
      <c r="B144" s="144"/>
      <c r="C144" s="145" t="s">
        <v>123</v>
      </c>
      <c r="D144" s="146" t="s">
        <v>342</v>
      </c>
      <c r="E144" s="147"/>
      <c r="F144" s="147"/>
      <c r="G144" s="168"/>
      <c r="H144" s="147"/>
      <c r="I144" s="147"/>
      <c r="J144" s="148"/>
      <c r="K144" s="149"/>
      <c r="L144" s="29"/>
      <c r="M144" s="29"/>
      <c r="N144" s="30"/>
    </row>
    <row r="145" spans="1:74" ht="27.75" customHeight="1" x14ac:dyDescent="0.25">
      <c r="A145" s="84"/>
      <c r="B145" s="135">
        <v>100</v>
      </c>
      <c r="C145" s="85" t="s">
        <v>346</v>
      </c>
      <c r="D145" s="136" t="s">
        <v>369</v>
      </c>
      <c r="E145" s="85" t="s">
        <v>122</v>
      </c>
      <c r="F145" s="137">
        <v>2</v>
      </c>
      <c r="G145" s="166">
        <v>0</v>
      </c>
      <c r="H145" s="137">
        <f>ROUND(F145*AM145,2)</f>
        <v>0</v>
      </c>
      <c r="I145" s="137">
        <f>ROUND(F145*AN145,2)</f>
        <v>0</v>
      </c>
      <c r="J145" s="138">
        <f>ROUND(F145*G145,2)</f>
        <v>0</v>
      </c>
      <c r="K145" s="139"/>
      <c r="L145" s="21">
        <v>3.0000000000000001E-5</v>
      </c>
      <c r="M145" s="21">
        <f>F145*L145</f>
        <v>6.0000000000000002E-5</v>
      </c>
      <c r="N145" s="22" t="s">
        <v>79</v>
      </c>
      <c r="X145" s="21">
        <f>ROUND(IF(AO145="5",BH145,0),2)</f>
        <v>0</v>
      </c>
      <c r="Z145" s="21">
        <f>ROUND(IF(AO145="1",BF145,0),2)</f>
        <v>0</v>
      </c>
      <c r="AA145" s="21">
        <f>ROUND(IF(AO145="1",BG145,0),2)</f>
        <v>0</v>
      </c>
      <c r="AB145" s="21">
        <f>ROUND(IF(AO145="7",BF145,0),2)</f>
        <v>0</v>
      </c>
      <c r="AC145" s="21">
        <f>ROUND(IF(AO145="7",BG145,0),2)</f>
        <v>0</v>
      </c>
      <c r="AD145" s="21">
        <f>ROUND(IF(AO145="2",BF145,0),2)</f>
        <v>0</v>
      </c>
      <c r="AE145" s="21">
        <f>ROUND(IF(AO145="2",BG145,0),2)</f>
        <v>0</v>
      </c>
      <c r="AF145" s="21">
        <f>ROUND(IF(AO145="0",BH145,0),2)</f>
        <v>0</v>
      </c>
      <c r="AG145" s="12" t="s">
        <v>3</v>
      </c>
      <c r="AH145" s="21">
        <f>IF(AL145=0,J145,0)</f>
        <v>0</v>
      </c>
      <c r="AI145" s="21">
        <f>IF(AL145=12,J145,0)</f>
        <v>0</v>
      </c>
      <c r="AJ145" s="21">
        <f>IF(AL145=21,J145,0)</f>
        <v>0</v>
      </c>
      <c r="AL145" s="21">
        <v>21</v>
      </c>
      <c r="AM145" s="21">
        <f>G145*0.009288538</f>
        <v>0</v>
      </c>
      <c r="AN145" s="21">
        <f>G145*(1-0.009288538)</f>
        <v>0</v>
      </c>
      <c r="AO145" s="23" t="s">
        <v>80</v>
      </c>
      <c r="AT145" s="21">
        <f>ROUND(AU145+AV145,2)</f>
        <v>0</v>
      </c>
      <c r="AU145" s="21">
        <f>ROUND(F145*AM145,2)</f>
        <v>0</v>
      </c>
      <c r="AV145" s="21">
        <f>ROUND(F145*AN145,2)</f>
        <v>0</v>
      </c>
      <c r="AW145" s="23" t="s">
        <v>341</v>
      </c>
      <c r="AX145" s="23" t="s">
        <v>82</v>
      </c>
      <c r="AY145" s="12" t="s">
        <v>83</v>
      </c>
      <c r="BA145" s="21">
        <f>AU145+AV145</f>
        <v>0</v>
      </c>
      <c r="BB145" s="21">
        <f>G145/(100-BC145)*100</f>
        <v>0</v>
      </c>
      <c r="BC145" s="21">
        <v>0</v>
      </c>
      <c r="BD145" s="21">
        <f>M145</f>
        <v>6.0000000000000002E-5</v>
      </c>
      <c r="BF145" s="21">
        <f>F145*AM145</f>
        <v>0</v>
      </c>
      <c r="BG145" s="21">
        <f>F145*AN145</f>
        <v>0</v>
      </c>
      <c r="BH145" s="21">
        <f>F145*G145</f>
        <v>0</v>
      </c>
      <c r="BI145" s="23" t="s">
        <v>84</v>
      </c>
      <c r="BJ145" s="21">
        <v>723</v>
      </c>
      <c r="BU145" s="21" t="e">
        <f>#REF!</f>
        <v>#REF!</v>
      </c>
      <c r="BV145" s="1" t="s">
        <v>347</v>
      </c>
    </row>
    <row r="146" spans="1:74" x14ac:dyDescent="0.25">
      <c r="A146" s="84"/>
      <c r="B146" s="140" t="s">
        <v>3</v>
      </c>
      <c r="C146" s="121" t="s">
        <v>230</v>
      </c>
      <c r="D146" s="122" t="s">
        <v>25</v>
      </c>
      <c r="E146" s="120" t="s">
        <v>41</v>
      </c>
      <c r="F146" s="120" t="s">
        <v>41</v>
      </c>
      <c r="G146" s="167" t="s">
        <v>41</v>
      </c>
      <c r="H146" s="123">
        <f>SUM(H147:H155)</f>
        <v>0</v>
      </c>
      <c r="I146" s="123">
        <f>SUM(I147:I155)</f>
        <v>0</v>
      </c>
      <c r="J146" s="141">
        <f>SUM(J147:J155)</f>
        <v>0</v>
      </c>
      <c r="K146" s="124"/>
      <c r="L146" s="12" t="s">
        <v>3</v>
      </c>
      <c r="M146" s="10">
        <f>SUM(M147:M155)</f>
        <v>3.3490000000000006E-2</v>
      </c>
      <c r="N146" s="20" t="s">
        <v>3</v>
      </c>
      <c r="AG146" s="12" t="s">
        <v>3</v>
      </c>
      <c r="AQ146" s="10">
        <f>SUM(AH147:AH155)</f>
        <v>0</v>
      </c>
      <c r="AR146" s="10">
        <f>SUM(AI147:AI155)</f>
        <v>0</v>
      </c>
      <c r="AS146" s="10">
        <f>SUM(AJ147:AJ155)</f>
        <v>0</v>
      </c>
    </row>
    <row r="147" spans="1:74" x14ac:dyDescent="0.25">
      <c r="A147" s="84"/>
      <c r="B147" s="135">
        <v>102</v>
      </c>
      <c r="C147" s="85" t="s">
        <v>350</v>
      </c>
      <c r="D147" s="136" t="s">
        <v>351</v>
      </c>
      <c r="E147" s="85" t="s">
        <v>352</v>
      </c>
      <c r="F147" s="137">
        <v>30</v>
      </c>
      <c r="G147" s="166">
        <v>0</v>
      </c>
      <c r="H147" s="137">
        <f>ROUND(F147*AM147,2)</f>
        <v>0</v>
      </c>
      <c r="I147" s="137">
        <f>ROUND(F147*AN147,2)</f>
        <v>0</v>
      </c>
      <c r="J147" s="138">
        <f>ROUND(F147*G147,2)</f>
        <v>0</v>
      </c>
      <c r="K147" s="139"/>
      <c r="L147" s="21">
        <v>0</v>
      </c>
      <c r="M147" s="21">
        <f>F147*L147</f>
        <v>0</v>
      </c>
      <c r="N147" s="22" t="s">
        <v>3</v>
      </c>
      <c r="X147" s="21">
        <f>ROUND(IF(AO147="5",BH147,0),2)</f>
        <v>0</v>
      </c>
      <c r="Z147" s="21">
        <f>ROUND(IF(AO147="1",BF147,0),2)</f>
        <v>0</v>
      </c>
      <c r="AA147" s="21">
        <f>ROUND(IF(AO147="1",BG147,0),2)</f>
        <v>0</v>
      </c>
      <c r="AB147" s="21">
        <f>ROUND(IF(AO147="7",BF147,0),2)</f>
        <v>0</v>
      </c>
      <c r="AC147" s="21">
        <f>ROUND(IF(AO147="7",BG147,0),2)</f>
        <v>0</v>
      </c>
      <c r="AD147" s="21">
        <f>ROUND(IF(AO147="2",BF147,0),2)</f>
        <v>0</v>
      </c>
      <c r="AE147" s="21">
        <f>ROUND(IF(AO147="2",BG147,0),2)</f>
        <v>0</v>
      </c>
      <c r="AF147" s="21">
        <f>ROUND(IF(AO147="0",BH147,0),2)</f>
        <v>0</v>
      </c>
      <c r="AG147" s="12" t="s">
        <v>3</v>
      </c>
      <c r="AH147" s="21">
        <f>IF(AL147=0,J147,0)</f>
        <v>0</v>
      </c>
      <c r="AI147" s="21">
        <f>IF(AL147=12,J147,0)</f>
        <v>0</v>
      </c>
      <c r="AJ147" s="21">
        <f>IF(AL147=21,J147,0)</f>
        <v>0</v>
      </c>
      <c r="AL147" s="21">
        <v>21</v>
      </c>
      <c r="AM147" s="21">
        <f>G147*0</f>
        <v>0</v>
      </c>
      <c r="AN147" s="21">
        <f>G147*(1-0)</f>
        <v>0</v>
      </c>
      <c r="AO147" s="23" t="s">
        <v>75</v>
      </c>
      <c r="AT147" s="21">
        <f>ROUND(AU147+AV147,2)</f>
        <v>0</v>
      </c>
      <c r="AU147" s="21">
        <f>ROUND(F147*AM147,2)</f>
        <v>0</v>
      </c>
      <c r="AV147" s="21">
        <f>ROUND(F147*AN147,2)</f>
        <v>0</v>
      </c>
      <c r="AW147" s="23" t="s">
        <v>348</v>
      </c>
      <c r="AX147" s="23" t="s">
        <v>349</v>
      </c>
      <c r="AY147" s="12" t="s">
        <v>83</v>
      </c>
      <c r="BA147" s="21">
        <f>AU147+AV147</f>
        <v>0</v>
      </c>
      <c r="BB147" s="21">
        <f>G147/(100-BC147)*100</f>
        <v>0</v>
      </c>
      <c r="BC147" s="21">
        <v>0</v>
      </c>
      <c r="BD147" s="21">
        <f>M147</f>
        <v>0</v>
      </c>
      <c r="BF147" s="21">
        <f>F147*AM147</f>
        <v>0</v>
      </c>
      <c r="BG147" s="21">
        <f>F147*AN147</f>
        <v>0</v>
      </c>
      <c r="BH147" s="21">
        <f>F147*G147</f>
        <v>0</v>
      </c>
      <c r="BI147" s="23" t="s">
        <v>84</v>
      </c>
      <c r="BJ147" s="21">
        <v>60</v>
      </c>
      <c r="BU147" s="21" t="e">
        <f>#REF!</f>
        <v>#REF!</v>
      </c>
      <c r="BV147" s="1" t="s">
        <v>351</v>
      </c>
    </row>
    <row r="148" spans="1:74" x14ac:dyDescent="0.25">
      <c r="A148" s="84"/>
      <c r="B148" s="135">
        <v>103</v>
      </c>
      <c r="C148" s="85" t="s">
        <v>353</v>
      </c>
      <c r="D148" s="136" t="s">
        <v>354</v>
      </c>
      <c r="E148" s="85" t="s">
        <v>352</v>
      </c>
      <c r="F148" s="137">
        <v>10</v>
      </c>
      <c r="G148" s="166">
        <v>0</v>
      </c>
      <c r="H148" s="137">
        <f>ROUND(F148*AM148,2)</f>
        <v>0</v>
      </c>
      <c r="I148" s="137">
        <f>ROUND(F148*AN148,2)</f>
        <v>0</v>
      </c>
      <c r="J148" s="138">
        <f>ROUND(F148*G148,2)</f>
        <v>0</v>
      </c>
      <c r="K148" s="139"/>
      <c r="L148" s="21">
        <v>0</v>
      </c>
      <c r="M148" s="21">
        <f>F148*L148</f>
        <v>0</v>
      </c>
      <c r="N148" s="22" t="s">
        <v>3</v>
      </c>
      <c r="X148" s="21">
        <f>ROUND(IF(AO148="5",BH148,0),2)</f>
        <v>0</v>
      </c>
      <c r="Z148" s="21">
        <f>ROUND(IF(AO148="1",BF148,0),2)</f>
        <v>0</v>
      </c>
      <c r="AA148" s="21">
        <f>ROUND(IF(AO148="1",BG148,0),2)</f>
        <v>0</v>
      </c>
      <c r="AB148" s="21">
        <f>ROUND(IF(AO148="7",BF148,0),2)</f>
        <v>0</v>
      </c>
      <c r="AC148" s="21">
        <f>ROUND(IF(AO148="7",BG148,0),2)</f>
        <v>0</v>
      </c>
      <c r="AD148" s="21">
        <f>ROUND(IF(AO148="2",BF148,0),2)</f>
        <v>0</v>
      </c>
      <c r="AE148" s="21">
        <f>ROUND(IF(AO148="2",BG148,0),2)</f>
        <v>0</v>
      </c>
      <c r="AF148" s="21">
        <f>ROUND(IF(AO148="0",BH148,0),2)</f>
        <v>0</v>
      </c>
      <c r="AG148" s="12" t="s">
        <v>3</v>
      </c>
      <c r="AH148" s="21">
        <f>IF(AL148=0,J148,0)</f>
        <v>0</v>
      </c>
      <c r="AI148" s="21">
        <f>IF(AL148=12,J148,0)</f>
        <v>0</v>
      </c>
      <c r="AJ148" s="21">
        <f>IF(AL148=21,J148,0)</f>
        <v>0</v>
      </c>
      <c r="AL148" s="21">
        <v>21</v>
      </c>
      <c r="AM148" s="21">
        <f>G148*0</f>
        <v>0</v>
      </c>
      <c r="AN148" s="21">
        <f>G148*(1-0)</f>
        <v>0</v>
      </c>
      <c r="AO148" s="23" t="s">
        <v>75</v>
      </c>
      <c r="AT148" s="21">
        <f>ROUND(AU148+AV148,2)</f>
        <v>0</v>
      </c>
      <c r="AU148" s="21">
        <f>ROUND(F148*AM148,2)</f>
        <v>0</v>
      </c>
      <c r="AV148" s="21">
        <f>ROUND(F148*AN148,2)</f>
        <v>0</v>
      </c>
      <c r="AW148" s="23" t="s">
        <v>348</v>
      </c>
      <c r="AX148" s="23" t="s">
        <v>349</v>
      </c>
      <c r="AY148" s="12" t="s">
        <v>83</v>
      </c>
      <c r="BA148" s="21">
        <f>AU148+AV148</f>
        <v>0</v>
      </c>
      <c r="BB148" s="21">
        <f>G148/(100-BC148)*100</f>
        <v>0</v>
      </c>
      <c r="BC148" s="21">
        <v>0</v>
      </c>
      <c r="BD148" s="21">
        <f>M148</f>
        <v>0</v>
      </c>
      <c r="BF148" s="21">
        <f>F148*AM148</f>
        <v>0</v>
      </c>
      <c r="BG148" s="21">
        <f>F148*AN148</f>
        <v>0</v>
      </c>
      <c r="BH148" s="21">
        <f>F148*G148</f>
        <v>0</v>
      </c>
      <c r="BI148" s="23" t="s">
        <v>84</v>
      </c>
      <c r="BJ148" s="21">
        <v>60</v>
      </c>
      <c r="BU148" s="21" t="e">
        <f>#REF!</f>
        <v>#REF!</v>
      </c>
      <c r="BV148" s="1" t="s">
        <v>354</v>
      </c>
    </row>
    <row r="149" spans="1:74" ht="13.5" customHeight="1" x14ac:dyDescent="0.25">
      <c r="A149" s="84"/>
      <c r="B149" s="144"/>
      <c r="C149" s="145" t="s">
        <v>123</v>
      </c>
      <c r="D149" s="146" t="s">
        <v>355</v>
      </c>
      <c r="E149" s="147"/>
      <c r="F149" s="147"/>
      <c r="G149" s="168"/>
      <c r="H149" s="147"/>
      <c r="I149" s="147"/>
      <c r="J149" s="148"/>
      <c r="K149" s="149"/>
      <c r="L149" s="29"/>
      <c r="M149" s="29"/>
      <c r="N149" s="30"/>
    </row>
    <row r="150" spans="1:74" x14ac:dyDescent="0.25">
      <c r="A150" s="84"/>
      <c r="B150" s="135">
        <v>104</v>
      </c>
      <c r="C150" s="85" t="s">
        <v>356</v>
      </c>
      <c r="D150" s="136" t="s">
        <v>357</v>
      </c>
      <c r="E150" s="85" t="s">
        <v>352</v>
      </c>
      <c r="F150" s="137">
        <v>20</v>
      </c>
      <c r="G150" s="166">
        <v>0</v>
      </c>
      <c r="H150" s="137">
        <f>ROUND(F150*AM150,2)</f>
        <v>0</v>
      </c>
      <c r="I150" s="137">
        <f>ROUND(F150*AN150,2)</f>
        <v>0</v>
      </c>
      <c r="J150" s="138">
        <f>ROUND(F150*G150,2)</f>
        <v>0</v>
      </c>
      <c r="K150" s="139"/>
      <c r="L150" s="21">
        <v>0</v>
      </c>
      <c r="M150" s="21">
        <f>F150*L150</f>
        <v>0</v>
      </c>
      <c r="N150" s="22" t="s">
        <v>3</v>
      </c>
      <c r="X150" s="21">
        <f>ROUND(IF(AO150="5",BH150,0),2)</f>
        <v>0</v>
      </c>
      <c r="Z150" s="21">
        <f>ROUND(IF(AO150="1",BF150,0),2)</f>
        <v>0</v>
      </c>
      <c r="AA150" s="21">
        <f>ROUND(IF(AO150="1",BG150,0),2)</f>
        <v>0</v>
      </c>
      <c r="AB150" s="21">
        <f>ROUND(IF(AO150="7",BF150,0),2)</f>
        <v>0</v>
      </c>
      <c r="AC150" s="21">
        <f>ROUND(IF(AO150="7",BG150,0),2)</f>
        <v>0</v>
      </c>
      <c r="AD150" s="21">
        <f>ROUND(IF(AO150="2",BF150,0),2)</f>
        <v>0</v>
      </c>
      <c r="AE150" s="21">
        <f>ROUND(IF(AO150="2",BG150,0),2)</f>
        <v>0</v>
      </c>
      <c r="AF150" s="21">
        <f>ROUND(IF(AO150="0",BH150,0),2)</f>
        <v>0</v>
      </c>
      <c r="AG150" s="12" t="s">
        <v>3</v>
      </c>
      <c r="AH150" s="21">
        <f>IF(AL150=0,J150,0)</f>
        <v>0</v>
      </c>
      <c r="AI150" s="21">
        <f>IF(AL150=12,J150,0)</f>
        <v>0</v>
      </c>
      <c r="AJ150" s="21">
        <f>IF(AL150=21,J150,0)</f>
        <v>0</v>
      </c>
      <c r="AL150" s="21">
        <v>21</v>
      </c>
      <c r="AM150" s="21">
        <f>G150*0</f>
        <v>0</v>
      </c>
      <c r="AN150" s="21">
        <f>G150*(1-0)</f>
        <v>0</v>
      </c>
      <c r="AO150" s="23" t="s">
        <v>75</v>
      </c>
      <c r="AT150" s="21">
        <f>ROUND(AU150+AV150,2)</f>
        <v>0</v>
      </c>
      <c r="AU150" s="21">
        <f>ROUND(F150*AM150,2)</f>
        <v>0</v>
      </c>
      <c r="AV150" s="21">
        <f>ROUND(F150*AN150,2)</f>
        <v>0</v>
      </c>
      <c r="AW150" s="23" t="s">
        <v>348</v>
      </c>
      <c r="AX150" s="23" t="s">
        <v>349</v>
      </c>
      <c r="AY150" s="12" t="s">
        <v>83</v>
      </c>
      <c r="BA150" s="21">
        <f>AU150+AV150</f>
        <v>0</v>
      </c>
      <c r="BB150" s="21">
        <f>G150/(100-BC150)*100</f>
        <v>0</v>
      </c>
      <c r="BC150" s="21">
        <v>0</v>
      </c>
      <c r="BD150" s="21">
        <f>M150</f>
        <v>0</v>
      </c>
      <c r="BF150" s="21">
        <f>F150*AM150</f>
        <v>0</v>
      </c>
      <c r="BG150" s="21">
        <f>F150*AN150</f>
        <v>0</v>
      </c>
      <c r="BH150" s="21">
        <f>F150*G150</f>
        <v>0</v>
      </c>
      <c r="BI150" s="23" t="s">
        <v>84</v>
      </c>
      <c r="BJ150" s="21">
        <v>60</v>
      </c>
      <c r="BU150" s="21" t="e">
        <f>#REF!</f>
        <v>#REF!</v>
      </c>
      <c r="BV150" s="1" t="s">
        <v>357</v>
      </c>
    </row>
    <row r="151" spans="1:74" ht="13.5" customHeight="1" x14ac:dyDescent="0.25">
      <c r="A151" s="84"/>
      <c r="B151" s="144"/>
      <c r="C151" s="145" t="s">
        <v>123</v>
      </c>
      <c r="D151" s="146" t="s">
        <v>358</v>
      </c>
      <c r="E151" s="147"/>
      <c r="F151" s="147"/>
      <c r="G151" s="168"/>
      <c r="H151" s="147"/>
      <c r="I151" s="147"/>
      <c r="J151" s="148"/>
      <c r="K151" s="149"/>
      <c r="L151" s="29"/>
      <c r="M151" s="29"/>
      <c r="N151" s="30"/>
    </row>
    <row r="152" spans="1:74" x14ac:dyDescent="0.25">
      <c r="A152" s="84"/>
      <c r="B152" s="135">
        <v>105</v>
      </c>
      <c r="C152" s="85" t="s">
        <v>359</v>
      </c>
      <c r="D152" s="136" t="s">
        <v>360</v>
      </c>
      <c r="E152" s="85" t="s">
        <v>114</v>
      </c>
      <c r="F152" s="137">
        <v>1</v>
      </c>
      <c r="G152" s="166">
        <v>0</v>
      </c>
      <c r="H152" s="137">
        <f>ROUND(F152*AM152,2)</f>
        <v>0</v>
      </c>
      <c r="I152" s="137">
        <f>ROUND(F152*AN152,2)</f>
        <v>0</v>
      </c>
      <c r="J152" s="138">
        <f>ROUND(F152*G152,2)</f>
        <v>0</v>
      </c>
      <c r="K152" s="139"/>
      <c r="L152" s="21">
        <v>4.8700000000000002E-3</v>
      </c>
      <c r="M152" s="21">
        <f>F152*L152</f>
        <v>4.8700000000000002E-3</v>
      </c>
      <c r="N152" s="22" t="s">
        <v>3</v>
      </c>
      <c r="X152" s="21">
        <f>ROUND(IF(AO152="5",BH152,0),2)</f>
        <v>0</v>
      </c>
      <c r="Z152" s="21">
        <f>ROUND(IF(AO152="1",BF152,0),2)</f>
        <v>0</v>
      </c>
      <c r="AA152" s="21">
        <f>ROUND(IF(AO152="1",BG152,0),2)</f>
        <v>0</v>
      </c>
      <c r="AB152" s="21">
        <f>ROUND(IF(AO152="7",BF152,0),2)</f>
        <v>0</v>
      </c>
      <c r="AC152" s="21">
        <f>ROUND(IF(AO152="7",BG152,0),2)</f>
        <v>0</v>
      </c>
      <c r="AD152" s="21">
        <f>ROUND(IF(AO152="2",BF152,0),2)</f>
        <v>0</v>
      </c>
      <c r="AE152" s="21">
        <f>ROUND(IF(AO152="2",BG152,0),2)</f>
        <v>0</v>
      </c>
      <c r="AF152" s="21">
        <f>ROUND(IF(AO152="0",BH152,0),2)</f>
        <v>0</v>
      </c>
      <c r="AG152" s="12" t="s">
        <v>3</v>
      </c>
      <c r="AH152" s="21">
        <f>IF(AL152=0,J152,0)</f>
        <v>0</v>
      </c>
      <c r="AI152" s="21">
        <f>IF(AL152=12,J152,0)</f>
        <v>0</v>
      </c>
      <c r="AJ152" s="21">
        <f>IF(AL152=21,J152,0)</f>
        <v>0</v>
      </c>
      <c r="AL152" s="21">
        <v>21</v>
      </c>
      <c r="AM152" s="21">
        <f>G152*0.167252</f>
        <v>0</v>
      </c>
      <c r="AN152" s="21">
        <f>G152*(1-0.167252)</f>
        <v>0</v>
      </c>
      <c r="AO152" s="23" t="s">
        <v>75</v>
      </c>
      <c r="AT152" s="21">
        <f>ROUND(AU152+AV152,2)</f>
        <v>0</v>
      </c>
      <c r="AU152" s="21">
        <f>ROUND(F152*AM152,2)</f>
        <v>0</v>
      </c>
      <c r="AV152" s="21">
        <f>ROUND(F152*AN152,2)</f>
        <v>0</v>
      </c>
      <c r="AW152" s="23" t="s">
        <v>348</v>
      </c>
      <c r="AX152" s="23" t="s">
        <v>349</v>
      </c>
      <c r="AY152" s="12" t="s">
        <v>83</v>
      </c>
      <c r="BA152" s="21">
        <f>AU152+AV152</f>
        <v>0</v>
      </c>
      <c r="BB152" s="21">
        <f>G152/(100-BC152)*100</f>
        <v>0</v>
      </c>
      <c r="BC152" s="21">
        <v>0</v>
      </c>
      <c r="BD152" s="21">
        <f>M152</f>
        <v>4.8700000000000002E-3</v>
      </c>
      <c r="BF152" s="21">
        <f>F152*AM152</f>
        <v>0</v>
      </c>
      <c r="BG152" s="21">
        <f>F152*AN152</f>
        <v>0</v>
      </c>
      <c r="BH152" s="21">
        <f>F152*G152</f>
        <v>0</v>
      </c>
      <c r="BI152" s="23" t="s">
        <v>84</v>
      </c>
      <c r="BJ152" s="21">
        <v>60</v>
      </c>
      <c r="BU152" s="21" t="e">
        <f>#REF!</f>
        <v>#REF!</v>
      </c>
      <c r="BV152" s="1" t="s">
        <v>360</v>
      </c>
    </row>
    <row r="153" spans="1:74" x14ac:dyDescent="0.25">
      <c r="A153" s="84"/>
      <c r="B153" s="135">
        <v>106</v>
      </c>
      <c r="C153" s="85" t="s">
        <v>361</v>
      </c>
      <c r="D153" s="136" t="s">
        <v>362</v>
      </c>
      <c r="E153" s="85" t="s">
        <v>114</v>
      </c>
      <c r="F153" s="137">
        <v>1</v>
      </c>
      <c r="G153" s="166">
        <v>0</v>
      </c>
      <c r="H153" s="137">
        <f>ROUND(F153*AM153,2)</f>
        <v>0</v>
      </c>
      <c r="I153" s="137">
        <f>ROUND(F153*AN153,2)</f>
        <v>0</v>
      </c>
      <c r="J153" s="138">
        <f>ROUND(F153*G153,2)</f>
        <v>0</v>
      </c>
      <c r="K153" s="139"/>
      <c r="L153" s="21">
        <v>4.8700000000000002E-3</v>
      </c>
      <c r="M153" s="21">
        <f>F153*L153</f>
        <v>4.8700000000000002E-3</v>
      </c>
      <c r="N153" s="22" t="s">
        <v>3</v>
      </c>
      <c r="X153" s="21">
        <f>ROUND(IF(AO153="5",BH153,0),2)</f>
        <v>0</v>
      </c>
      <c r="Z153" s="21">
        <f>ROUND(IF(AO153="1",BF153,0),2)</f>
        <v>0</v>
      </c>
      <c r="AA153" s="21">
        <f>ROUND(IF(AO153="1",BG153,0),2)</f>
        <v>0</v>
      </c>
      <c r="AB153" s="21">
        <f>ROUND(IF(AO153="7",BF153,0),2)</f>
        <v>0</v>
      </c>
      <c r="AC153" s="21">
        <f>ROUND(IF(AO153="7",BG153,0),2)</f>
        <v>0</v>
      </c>
      <c r="AD153" s="21">
        <f>ROUND(IF(AO153="2",BF153,0),2)</f>
        <v>0</v>
      </c>
      <c r="AE153" s="21">
        <f>ROUND(IF(AO153="2",BG153,0),2)</f>
        <v>0</v>
      </c>
      <c r="AF153" s="21">
        <f>ROUND(IF(AO153="0",BH153,0),2)</f>
        <v>0</v>
      </c>
      <c r="AG153" s="12" t="s">
        <v>3</v>
      </c>
      <c r="AH153" s="21">
        <f>IF(AL153=0,J153,0)</f>
        <v>0</v>
      </c>
      <c r="AI153" s="21">
        <f>IF(AL153=12,J153,0)</f>
        <v>0</v>
      </c>
      <c r="AJ153" s="21">
        <f>IF(AL153=21,J153,0)</f>
        <v>0</v>
      </c>
      <c r="AL153" s="21">
        <v>21</v>
      </c>
      <c r="AM153" s="21">
        <f>G153*0.167252</f>
        <v>0</v>
      </c>
      <c r="AN153" s="21">
        <f>G153*(1-0.167252)</f>
        <v>0</v>
      </c>
      <c r="AO153" s="23" t="s">
        <v>75</v>
      </c>
      <c r="AT153" s="21">
        <f>ROUND(AU153+AV153,2)</f>
        <v>0</v>
      </c>
      <c r="AU153" s="21">
        <f>ROUND(F153*AM153,2)</f>
        <v>0</v>
      </c>
      <c r="AV153" s="21">
        <f>ROUND(F153*AN153,2)</f>
        <v>0</v>
      </c>
      <c r="AW153" s="23" t="s">
        <v>348</v>
      </c>
      <c r="AX153" s="23" t="s">
        <v>349</v>
      </c>
      <c r="AY153" s="12" t="s">
        <v>83</v>
      </c>
      <c r="BA153" s="21">
        <f>AU153+AV153</f>
        <v>0</v>
      </c>
      <c r="BB153" s="21">
        <f>G153/(100-BC153)*100</f>
        <v>0</v>
      </c>
      <c r="BC153" s="21">
        <v>0</v>
      </c>
      <c r="BD153" s="21">
        <f>M153</f>
        <v>4.8700000000000002E-3</v>
      </c>
      <c r="BF153" s="21">
        <f>F153*AM153</f>
        <v>0</v>
      </c>
      <c r="BG153" s="21">
        <f>F153*AN153</f>
        <v>0</v>
      </c>
      <c r="BH153" s="21">
        <f>F153*G153</f>
        <v>0</v>
      </c>
      <c r="BI153" s="23" t="s">
        <v>84</v>
      </c>
      <c r="BJ153" s="21">
        <v>60</v>
      </c>
      <c r="BU153" s="21" t="e">
        <f>#REF!</f>
        <v>#REF!</v>
      </c>
      <c r="BV153" s="1" t="s">
        <v>362</v>
      </c>
    </row>
    <row r="154" spans="1:74" x14ac:dyDescent="0.25">
      <c r="A154" s="84"/>
      <c r="B154" s="135">
        <v>107</v>
      </c>
      <c r="C154" s="85" t="s">
        <v>363</v>
      </c>
      <c r="D154" s="136" t="s">
        <v>364</v>
      </c>
      <c r="E154" s="85" t="s">
        <v>114</v>
      </c>
      <c r="F154" s="137">
        <v>1</v>
      </c>
      <c r="G154" s="166">
        <v>0</v>
      </c>
      <c r="H154" s="137">
        <f>ROUND(F154*AM154,2)</f>
        <v>0</v>
      </c>
      <c r="I154" s="137">
        <f>ROUND(F154*AN154,2)</f>
        <v>0</v>
      </c>
      <c r="J154" s="138">
        <f>ROUND(F154*G154,2)</f>
        <v>0</v>
      </c>
      <c r="K154" s="139"/>
      <c r="L154" s="21">
        <v>4.8700000000000002E-3</v>
      </c>
      <c r="M154" s="21">
        <f>F154*L154</f>
        <v>4.8700000000000002E-3</v>
      </c>
      <c r="N154" s="22" t="s">
        <v>3</v>
      </c>
      <c r="X154" s="21">
        <f>ROUND(IF(AO154="5",BH154,0),2)</f>
        <v>0</v>
      </c>
      <c r="Z154" s="21">
        <f>ROUND(IF(AO154="1",BF154,0),2)</f>
        <v>0</v>
      </c>
      <c r="AA154" s="21">
        <f>ROUND(IF(AO154="1",BG154,0),2)</f>
        <v>0</v>
      </c>
      <c r="AB154" s="21">
        <f>ROUND(IF(AO154="7",BF154,0),2)</f>
        <v>0</v>
      </c>
      <c r="AC154" s="21">
        <f>ROUND(IF(AO154="7",BG154,0),2)</f>
        <v>0</v>
      </c>
      <c r="AD154" s="21">
        <f>ROUND(IF(AO154="2",BF154,0),2)</f>
        <v>0</v>
      </c>
      <c r="AE154" s="21">
        <f>ROUND(IF(AO154="2",BG154,0),2)</f>
        <v>0</v>
      </c>
      <c r="AF154" s="21">
        <f>ROUND(IF(AO154="0",BH154,0),2)</f>
        <v>0</v>
      </c>
      <c r="AG154" s="12" t="s">
        <v>3</v>
      </c>
      <c r="AH154" s="21">
        <f>IF(AL154=0,J154,0)</f>
        <v>0</v>
      </c>
      <c r="AI154" s="21">
        <f>IF(AL154=12,J154,0)</f>
        <v>0</v>
      </c>
      <c r="AJ154" s="21">
        <f>IF(AL154=21,J154,0)</f>
        <v>0</v>
      </c>
      <c r="AL154" s="21">
        <v>21</v>
      </c>
      <c r="AM154" s="21">
        <f>G154*0.167252</f>
        <v>0</v>
      </c>
      <c r="AN154" s="21">
        <f>G154*(1-0.167252)</f>
        <v>0</v>
      </c>
      <c r="AO154" s="23" t="s">
        <v>75</v>
      </c>
      <c r="AT154" s="21">
        <f>ROUND(AU154+AV154,2)</f>
        <v>0</v>
      </c>
      <c r="AU154" s="21">
        <f>ROUND(F154*AM154,2)</f>
        <v>0</v>
      </c>
      <c r="AV154" s="21">
        <f>ROUND(F154*AN154,2)</f>
        <v>0</v>
      </c>
      <c r="AW154" s="23" t="s">
        <v>348</v>
      </c>
      <c r="AX154" s="23" t="s">
        <v>349</v>
      </c>
      <c r="AY154" s="12" t="s">
        <v>83</v>
      </c>
      <c r="BA154" s="21">
        <f>AU154+AV154</f>
        <v>0</v>
      </c>
      <c r="BB154" s="21">
        <f>G154/(100-BC154)*100</f>
        <v>0</v>
      </c>
      <c r="BC154" s="21">
        <v>0</v>
      </c>
      <c r="BD154" s="21">
        <f>M154</f>
        <v>4.8700000000000002E-3</v>
      </c>
      <c r="BF154" s="21">
        <f>F154*AM154</f>
        <v>0</v>
      </c>
      <c r="BG154" s="21">
        <f>F154*AN154</f>
        <v>0</v>
      </c>
      <c r="BH154" s="21">
        <f>F154*G154</f>
        <v>0</v>
      </c>
      <c r="BI154" s="23" t="s">
        <v>84</v>
      </c>
      <c r="BJ154" s="21">
        <v>60</v>
      </c>
      <c r="BU154" s="21" t="e">
        <f>#REF!</f>
        <v>#REF!</v>
      </c>
      <c r="BV154" s="1" t="s">
        <v>364</v>
      </c>
    </row>
    <row r="155" spans="1:74" ht="15.75" thickBot="1" x14ac:dyDescent="0.3">
      <c r="A155" s="84"/>
      <c r="B155" s="150">
        <v>109</v>
      </c>
      <c r="C155" s="151" t="s">
        <v>365</v>
      </c>
      <c r="D155" s="152" t="s">
        <v>366</v>
      </c>
      <c r="E155" s="151" t="s">
        <v>120</v>
      </c>
      <c r="F155" s="153">
        <v>1</v>
      </c>
      <c r="G155" s="169">
        <v>0</v>
      </c>
      <c r="H155" s="153">
        <f>ROUND(F155*AM155,2)</f>
        <v>0</v>
      </c>
      <c r="I155" s="153">
        <f>ROUND(F155*AN155,2)</f>
        <v>0</v>
      </c>
      <c r="J155" s="154">
        <f>ROUND(F155*G155,2)</f>
        <v>0</v>
      </c>
      <c r="K155" s="139"/>
      <c r="L155" s="25">
        <v>1.8880000000000001E-2</v>
      </c>
      <c r="M155" s="25">
        <f>F155*L155</f>
        <v>1.8880000000000001E-2</v>
      </c>
      <c r="N155" s="26" t="s">
        <v>3</v>
      </c>
      <c r="X155" s="21">
        <f>ROUND(IF(AO155="5",BH155,0),2)</f>
        <v>0</v>
      </c>
      <c r="Z155" s="21">
        <f>ROUND(IF(AO155="1",BF155,0),2)</f>
        <v>0</v>
      </c>
      <c r="AA155" s="21">
        <f>ROUND(IF(AO155="1",BG155,0),2)</f>
        <v>0</v>
      </c>
      <c r="AB155" s="21">
        <f>ROUND(IF(AO155="7",BF155,0),2)</f>
        <v>0</v>
      </c>
      <c r="AC155" s="21">
        <f>ROUND(IF(AO155="7",BG155,0),2)</f>
        <v>0</v>
      </c>
      <c r="AD155" s="21">
        <f>ROUND(IF(AO155="2",BF155,0),2)</f>
        <v>0</v>
      </c>
      <c r="AE155" s="21">
        <f>ROUND(IF(AO155="2",BG155,0),2)</f>
        <v>0</v>
      </c>
      <c r="AF155" s="21">
        <f>ROUND(IF(AO155="0",BH155,0),2)</f>
        <v>0</v>
      </c>
      <c r="AG155" s="12" t="s">
        <v>3</v>
      </c>
      <c r="AH155" s="21">
        <f>IF(AL155=0,J155,0)</f>
        <v>0</v>
      </c>
      <c r="AI155" s="21">
        <f>IF(AL155=12,J155,0)</f>
        <v>0</v>
      </c>
      <c r="AJ155" s="21">
        <f>IF(AL155=21,J155,0)</f>
        <v>0</v>
      </c>
      <c r="AL155" s="21">
        <v>21</v>
      </c>
      <c r="AM155" s="21">
        <f>G155*0.389735556</f>
        <v>0</v>
      </c>
      <c r="AN155" s="21">
        <f>G155*(1-0.389735556)</f>
        <v>0</v>
      </c>
      <c r="AO155" s="23" t="s">
        <v>75</v>
      </c>
      <c r="AT155" s="21">
        <f>ROUND(AU155+AV155,2)</f>
        <v>0</v>
      </c>
      <c r="AU155" s="21">
        <f>ROUND(F155*AM155,2)</f>
        <v>0</v>
      </c>
      <c r="AV155" s="21">
        <f>ROUND(F155*AN155,2)</f>
        <v>0</v>
      </c>
      <c r="AW155" s="23" t="s">
        <v>348</v>
      </c>
      <c r="AX155" s="23" t="s">
        <v>349</v>
      </c>
      <c r="AY155" s="12" t="s">
        <v>83</v>
      </c>
      <c r="BA155" s="21">
        <f>AU155+AV155</f>
        <v>0</v>
      </c>
      <c r="BB155" s="21">
        <f>G155/(100-BC155)*100</f>
        <v>0</v>
      </c>
      <c r="BC155" s="21">
        <v>0</v>
      </c>
      <c r="BD155" s="21">
        <f>M155</f>
        <v>1.8880000000000001E-2</v>
      </c>
      <c r="BF155" s="21">
        <f>F155*AM155</f>
        <v>0</v>
      </c>
      <c r="BG155" s="21">
        <f>F155*AN155</f>
        <v>0</v>
      </c>
      <c r="BH155" s="21">
        <f>F155*G155</f>
        <v>0</v>
      </c>
      <c r="BI155" s="23" t="s">
        <v>84</v>
      </c>
      <c r="BJ155" s="21">
        <v>60</v>
      </c>
      <c r="BU155" s="21" t="e">
        <f>#REF!</f>
        <v>#REF!</v>
      </c>
      <c r="BV155" s="1" t="s">
        <v>366</v>
      </c>
    </row>
    <row r="156" spans="1:74" ht="15.75" thickBot="1" x14ac:dyDescent="0.3">
      <c r="A156" s="84"/>
      <c r="B156" s="85"/>
      <c r="C156" s="85"/>
      <c r="D156" s="136"/>
      <c r="E156" s="85"/>
      <c r="F156" s="137"/>
      <c r="G156" s="137"/>
      <c r="H156" s="137"/>
      <c r="I156" s="137"/>
      <c r="J156" s="155"/>
      <c r="K156" s="139"/>
      <c r="L156" s="35"/>
      <c r="M156" s="35"/>
      <c r="N156" s="36"/>
      <c r="X156" s="21"/>
      <c r="Z156" s="21"/>
      <c r="AA156" s="21"/>
      <c r="AB156" s="21"/>
      <c r="AC156" s="21"/>
      <c r="AD156" s="21"/>
      <c r="AE156" s="21"/>
      <c r="AF156" s="21"/>
      <c r="AG156" s="12"/>
      <c r="AH156" s="21"/>
      <c r="AI156" s="21"/>
      <c r="AJ156" s="21"/>
      <c r="AL156" s="21"/>
      <c r="AM156" s="21"/>
      <c r="AN156" s="21"/>
      <c r="AO156" s="23"/>
      <c r="AT156" s="21"/>
      <c r="AU156" s="21"/>
      <c r="AV156" s="21"/>
      <c r="AW156" s="23"/>
      <c r="AX156" s="23"/>
      <c r="AY156" s="12"/>
      <c r="BA156" s="21"/>
      <c r="BB156" s="21"/>
      <c r="BC156" s="21"/>
      <c r="BD156" s="21"/>
      <c r="BF156" s="21"/>
      <c r="BG156" s="21"/>
      <c r="BH156" s="21"/>
      <c r="BI156" s="23"/>
      <c r="BJ156" s="21"/>
      <c r="BU156" s="21"/>
      <c r="BV156" s="28"/>
    </row>
    <row r="157" spans="1:74" ht="18.75" customHeight="1" thickBot="1" x14ac:dyDescent="0.3">
      <c r="A157" s="84"/>
      <c r="B157" s="156"/>
      <c r="C157" s="157" t="s">
        <v>27</v>
      </c>
      <c r="D157" s="158"/>
      <c r="E157" s="158"/>
      <c r="F157" s="158"/>
      <c r="G157" s="158"/>
      <c r="H157" s="159"/>
      <c r="I157" s="159"/>
      <c r="J157" s="160">
        <f>ROUND(J10+J23+J42+J47+J59+J102+J121+J135+J138+J146,2)</f>
        <v>0</v>
      </c>
      <c r="K157" s="161"/>
    </row>
    <row r="158" spans="1:74" x14ac:dyDescent="0.25">
      <c r="A158" s="84"/>
      <c r="B158" s="84"/>
      <c r="C158" s="84"/>
      <c r="D158" s="84"/>
      <c r="E158" s="84"/>
      <c r="F158" s="84"/>
      <c r="G158" s="84"/>
      <c r="H158" s="100"/>
      <c r="I158" s="100"/>
      <c r="J158" s="155"/>
      <c r="K158" s="161"/>
    </row>
    <row r="159" spans="1:74" x14ac:dyDescent="0.25">
      <c r="A159" s="84"/>
      <c r="B159" s="162" t="s">
        <v>377</v>
      </c>
      <c r="C159" s="84"/>
      <c r="D159" s="84"/>
      <c r="E159" s="84"/>
      <c r="F159" s="84"/>
      <c r="G159" s="84"/>
      <c r="H159" s="84"/>
      <c r="I159" s="84"/>
      <c r="J159" s="163"/>
      <c r="K159" s="164"/>
    </row>
    <row r="160" spans="1:74" ht="27.75" customHeight="1" x14ac:dyDescent="0.25">
      <c r="A160" s="84"/>
      <c r="B160" s="165" t="s">
        <v>376</v>
      </c>
      <c r="C160" s="165"/>
      <c r="D160" s="165"/>
      <c r="E160" s="165"/>
      <c r="F160" s="165"/>
      <c r="G160" s="165"/>
      <c r="H160" s="165"/>
      <c r="I160" s="165"/>
      <c r="J160" s="165"/>
      <c r="K160" s="87"/>
      <c r="L160" s="27"/>
      <c r="M160" s="27"/>
      <c r="N160" s="27"/>
    </row>
    <row r="161" spans="2:11" s="32" customFormat="1" ht="15" customHeight="1" x14ac:dyDescent="0.25">
      <c r="B161" s="81"/>
      <c r="C161" s="81"/>
      <c r="D161" s="81"/>
      <c r="E161" s="81"/>
      <c r="F161" s="81"/>
      <c r="G161" s="81"/>
      <c r="J161" s="42"/>
      <c r="K161" s="34"/>
    </row>
  </sheetData>
  <sheetProtection password="C7D4" sheet="1" objects="1" scenarios="1"/>
  <mergeCells count="6">
    <mergeCell ref="C1:J1"/>
    <mergeCell ref="B160:J160"/>
    <mergeCell ref="B161:G161"/>
    <mergeCell ref="H5:J5"/>
    <mergeCell ref="L5:M5"/>
    <mergeCell ref="H157:I157"/>
  </mergeCells>
  <pageMargins left="0.39370078740157483" right="0.39370078740157483" top="0.43307086614173229" bottom="0.59055118110236227" header="0" footer="0"/>
  <pageSetup paperSize="9" scale="84" fitToHeight="0" orientation="landscape" r:id="rId1"/>
  <headerFooter>
    <oddFooter>&amp;L&amp;"Arial,Obyčejné"&amp;10Stavba: MŠ ZDISLAVA, Brno, Pellicova 4 – rekonstrukce školní jídelny&amp;R&amp;"Arial,Obyčejné"&amp;10strana 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87e058-6ce2-4387-af7d-9a1fa0f09b0b">
      <Terms xmlns="http://schemas.microsoft.com/office/infopath/2007/PartnerControls"/>
    </lcf76f155ced4ddcb4097134ff3c332f>
    <TaxCatchAll xmlns="b99443a6-28a3-4c26-9342-973df40cbcd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64372EAA8106747BE00564483DC9FFD" ma:contentTypeVersion="29" ma:contentTypeDescription="Vytvoří nový dokument" ma:contentTypeScope="" ma:versionID="08561523e86e1077591db97ca39e7a02">
  <xsd:schema xmlns:xsd="http://www.w3.org/2001/XMLSchema" xmlns:xs="http://www.w3.org/2001/XMLSchema" xmlns:p="http://schemas.microsoft.com/office/2006/metadata/properties" xmlns:ns2="0787e058-6ce2-4387-af7d-9a1fa0f09b0b" xmlns:ns3="b99443a6-28a3-4c26-9342-973df40cbcd8" targetNamespace="http://schemas.microsoft.com/office/2006/metadata/properties" ma:root="true" ma:fieldsID="14729bd3c20340d3d9eac6f19c83ab8f" ns2:_="" ns3:_="">
    <xsd:import namespace="0787e058-6ce2-4387-af7d-9a1fa0f09b0b"/>
    <xsd:import namespace="b99443a6-28a3-4c26-9342-973df40cbc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lcf76f155ced4ddcb4097134ff3c332f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87e058-6ce2-4387-af7d-9a1fa0f09b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b8040d1f-e212-44eb-9296-edc947290d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443a6-28a3-4c26-9342-973df40cbcd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1cf57ee-cd43-4485-a33b-01234314ed8c}" ma:internalName="TaxCatchAll" ma:showField="CatchAllData" ma:web="b99443a6-28a3-4c26-9342-973df40cbc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7E6975-88C1-4DCC-8846-F4DE480905EE}">
  <ds:schemaRefs>
    <ds:schemaRef ds:uri="0787e058-6ce2-4387-af7d-9a1fa0f09b0b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b99443a6-28a3-4c26-9342-973df40cbcd8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54BD453-6DD6-41E3-B19C-F9C3EF20D7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87e058-6ce2-4387-af7d-9a1fa0f09b0b"/>
    <ds:schemaRef ds:uri="b99443a6-28a3-4c26-9342-973df40cbc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D8220B3-0E7D-4C5C-9773-0B743ECD70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VORN</vt:lpstr>
      <vt:lpstr>5_VV_ZTI+plyn</vt:lpstr>
      <vt:lpstr>'5_VV_ZTI+plyn'!Názvy_tisku</vt:lpstr>
      <vt:lpstr>'5_VV_ZTI+plyn'!Oblast_tisku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Soňa Mrkvicová</cp:lastModifiedBy>
  <cp:lastPrinted>2025-10-15T12:50:35Z</cp:lastPrinted>
  <dcterms:created xsi:type="dcterms:W3CDTF">2021-06-10T20:06:38Z</dcterms:created>
  <dcterms:modified xsi:type="dcterms:W3CDTF">2025-10-16T11:35:26Z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0x010100164372EAA8106747BE00564483DC9FFD</vt:lpwstr>
  </property>
  <property fmtid="{D5CDD505-2E9C-101B-9397-08002B2CF9AE}" pid="3" name="MediaServiceImageTags">
    <vt:lpwstr/>
  </property>
</Properties>
</file>